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15345" windowHeight="4470"/>
  </bookViews>
  <sheets>
    <sheet name="1DemSup" sheetId="1" r:id="rId1"/>
    <sheet name="2FunctDemSup" sheetId="2" r:id="rId2"/>
    <sheet name="3CowMod" sheetId="3" r:id="rId3"/>
    <sheet name="4ElasticDemSup" sheetId="4" r:id="rId4"/>
    <sheet name="5ElasticRevenue" sheetId="5" r:id="rId5"/>
    <sheet name="6 I-BL-U" sheetId="16" r:id="rId6"/>
    <sheet name="7 BL-I" sheetId="6" r:id="rId7"/>
    <sheet name="8 PCC-D" sheetId="9" r:id="rId8"/>
    <sheet name="9 ICC-Engla" sheetId="10" r:id="rId9"/>
    <sheet name="10 Hicks" sheetId="11" r:id="rId10"/>
    <sheet name="11 Slutsky" sheetId="12" r:id="rId11"/>
    <sheet name="12NietypZach" sheetId="13" r:id="rId12"/>
  </sheets>
  <calcPr calcId="125725"/>
</workbook>
</file>

<file path=xl/calcChain.xml><?xml version="1.0" encoding="utf-8"?>
<calcChain xmlns="http://schemas.openxmlformats.org/spreadsheetml/2006/main">
  <c r="M17" i="5"/>
  <c r="Q29" s="1"/>
  <c r="K17"/>
  <c r="L12" i="4"/>
  <c r="M16" s="1"/>
  <c r="J12"/>
  <c r="M22" s="1"/>
  <c r="S18"/>
  <c r="AO12"/>
  <c r="AM12"/>
  <c r="AP19" s="1"/>
  <c r="AP13" i="16"/>
  <c r="AX50" i="12"/>
  <c r="M21" i="4"/>
  <c r="AI13" i="16"/>
  <c r="AJ13"/>
  <c r="AK13"/>
  <c r="AL13"/>
  <c r="AH13"/>
  <c r="D14" i="1"/>
  <c r="AK25" i="16"/>
  <c r="AK26"/>
  <c r="AK27"/>
  <c r="AK28"/>
  <c r="AK29"/>
  <c r="AH30"/>
  <c r="AG30"/>
  <c r="AJ26"/>
  <c r="AJ27"/>
  <c r="AJ28"/>
  <c r="AJ29"/>
  <c r="AJ25"/>
  <c r="AI26"/>
  <c r="AI27"/>
  <c r="AI28"/>
  <c r="AI29"/>
  <c r="AI25"/>
  <c r="I94"/>
  <c r="H94"/>
  <c r="G94"/>
  <c r="F94"/>
  <c r="H89"/>
  <c r="H13"/>
  <c r="P80"/>
  <c r="Q80"/>
  <c r="R80"/>
  <c r="S80"/>
  <c r="T80"/>
  <c r="U80"/>
  <c r="P77"/>
  <c r="Q77"/>
  <c r="R77"/>
  <c r="S77"/>
  <c r="T77"/>
  <c r="U77"/>
  <c r="H15"/>
  <c r="P41"/>
  <c r="P42" s="1"/>
  <c r="Q41"/>
  <c r="Q42" s="1"/>
  <c r="R41"/>
  <c r="R42" s="1"/>
  <c r="S41"/>
  <c r="S42"/>
  <c r="O41"/>
  <c r="O42" s="1"/>
  <c r="P40"/>
  <c r="P39" s="1"/>
  <c r="Q40"/>
  <c r="Q39" s="1"/>
  <c r="R40"/>
  <c r="R39"/>
  <c r="S40"/>
  <c r="S39" s="1"/>
  <c r="O40"/>
  <c r="O39" s="1"/>
  <c r="F43"/>
  <c r="G43"/>
  <c r="H43"/>
  <c r="I43"/>
  <c r="E43"/>
  <c r="F23"/>
  <c r="H39" s="1"/>
  <c r="E23"/>
  <c r="G39" s="1"/>
  <c r="D23"/>
  <c r="F39" s="1"/>
  <c r="C23"/>
  <c r="E39" s="1"/>
  <c r="O76" s="1"/>
  <c r="O77" s="1"/>
  <c r="F27"/>
  <c r="E27"/>
  <c r="D27"/>
  <c r="C27"/>
  <c r="G18"/>
  <c r="G23" s="1"/>
  <c r="I39" s="1"/>
  <c r="E13"/>
  <c r="B13"/>
  <c r="AG9"/>
  <c r="AF9"/>
  <c r="AJ9" s="1"/>
  <c r="AG8"/>
  <c r="AF8"/>
  <c r="AJ8" s="1"/>
  <c r="AG7"/>
  <c r="AF7"/>
  <c r="AG6"/>
  <c r="AF6"/>
  <c r="AH6" s="1"/>
  <c r="AK6" s="1"/>
  <c r="AG5"/>
  <c r="AF5"/>
  <c r="AU17" i="2"/>
  <c r="AU16"/>
  <c r="AU14"/>
  <c r="AR14"/>
  <c r="Z18" i="4"/>
  <c r="X18"/>
  <c r="X19" s="1"/>
  <c r="Z13"/>
  <c r="S13"/>
  <c r="Q18"/>
  <c r="Q19" s="1"/>
  <c r="X13"/>
  <c r="BB46" s="1"/>
  <c r="BB47" s="1"/>
  <c r="AF66"/>
  <c r="O40"/>
  <c r="O42" s="1"/>
  <c r="AX5"/>
  <c r="AZ4"/>
  <c r="BE7" s="1"/>
  <c r="E12"/>
  <c r="E13" s="1"/>
  <c r="C12"/>
  <c r="C13" s="1"/>
  <c r="G17"/>
  <c r="BA109" i="12"/>
  <c r="AC42" i="13"/>
  <c r="AB42"/>
  <c r="AA42"/>
  <c r="Y42"/>
  <c r="AA44" s="1"/>
  <c r="Z30"/>
  <c r="AC25"/>
  <c r="AB25"/>
  <c r="Z25"/>
  <c r="Z20"/>
  <c r="C16"/>
  <c r="Z42" s="1"/>
  <c r="E12"/>
  <c r="Z29" s="1"/>
  <c r="C12"/>
  <c r="Z19" s="1"/>
  <c r="Y19" s="1"/>
  <c r="AG13"/>
  <c r="AG14" s="1"/>
  <c r="AF13"/>
  <c r="AF14"/>
  <c r="AE13"/>
  <c r="AE14" s="1"/>
  <c r="AD13"/>
  <c r="AD14" s="1"/>
  <c r="AC13"/>
  <c r="AC14" s="1"/>
  <c r="AB13"/>
  <c r="AB14"/>
  <c r="AA13"/>
  <c r="AA14" s="1"/>
  <c r="AG10"/>
  <c r="AG11" s="1"/>
  <c r="AF10"/>
  <c r="AF11" s="1"/>
  <c r="AE10"/>
  <c r="AE11"/>
  <c r="AD10"/>
  <c r="AD11" s="1"/>
  <c r="AC10"/>
  <c r="AC11" s="1"/>
  <c r="AB10"/>
  <c r="AB11" s="1"/>
  <c r="AA10"/>
  <c r="AA11"/>
  <c r="AF7"/>
  <c r="AF8" s="1"/>
  <c r="AE7"/>
  <c r="AE8" s="1"/>
  <c r="AD7"/>
  <c r="AD8" s="1"/>
  <c r="AC7"/>
  <c r="AC8"/>
  <c r="AB7"/>
  <c r="AB8" s="1"/>
  <c r="AG7"/>
  <c r="AG8" s="1"/>
  <c r="AA7"/>
  <c r="AA8" s="1"/>
  <c r="AW43" i="12"/>
  <c r="AN115"/>
  <c r="AN104"/>
  <c r="AN109" s="1"/>
  <c r="AP66"/>
  <c r="F50"/>
  <c r="AP39"/>
  <c r="E33"/>
  <c r="AS18"/>
  <c r="AS19" s="1"/>
  <c r="AR18"/>
  <c r="AR19" s="1"/>
  <c r="AQ18"/>
  <c r="AQ19"/>
  <c r="AP18"/>
  <c r="AP19" s="1"/>
  <c r="AO18"/>
  <c r="AO19" s="1"/>
  <c r="AN18"/>
  <c r="AN19" s="1"/>
  <c r="F16"/>
  <c r="AP12"/>
  <c r="AQ3"/>
  <c r="AO3"/>
  <c r="AM3"/>
  <c r="AP120" i="11"/>
  <c r="AO120"/>
  <c r="AN120"/>
  <c r="BB109"/>
  <c r="AZ109"/>
  <c r="AX109"/>
  <c r="AQ104"/>
  <c r="BC105" s="1"/>
  <c r="AP104"/>
  <c r="AO104"/>
  <c r="AY110"/>
  <c r="AS72"/>
  <c r="AS73" s="1"/>
  <c r="AR72"/>
  <c r="AR73" s="1"/>
  <c r="AQ72"/>
  <c r="AQ73" s="1"/>
  <c r="AP72"/>
  <c r="AP73"/>
  <c r="AO72"/>
  <c r="AO73" s="1"/>
  <c r="AN72"/>
  <c r="AN73" s="1"/>
  <c r="AP66"/>
  <c r="AQ57"/>
  <c r="AO57"/>
  <c r="AM57"/>
  <c r="F50"/>
  <c r="AS45"/>
  <c r="AS46" s="1"/>
  <c r="AR45"/>
  <c r="AR46" s="1"/>
  <c r="AQ45"/>
  <c r="AQ46" s="1"/>
  <c r="AP45"/>
  <c r="AP46"/>
  <c r="AO45"/>
  <c r="AO46" s="1"/>
  <c r="AN45"/>
  <c r="AN46" s="1"/>
  <c r="AP39"/>
  <c r="E33"/>
  <c r="AQ30"/>
  <c r="AO30"/>
  <c r="AM30"/>
  <c r="AS18"/>
  <c r="AS19"/>
  <c r="AR18"/>
  <c r="AR19" s="1"/>
  <c r="AQ18"/>
  <c r="AQ19" s="1"/>
  <c r="AP18"/>
  <c r="AP19" s="1"/>
  <c r="AO18"/>
  <c r="AO19"/>
  <c r="AN18"/>
  <c r="AN19" s="1"/>
  <c r="F16"/>
  <c r="AP12"/>
  <c r="AQ3"/>
  <c r="AO3"/>
  <c r="AN5" s="1"/>
  <c r="AM3"/>
  <c r="AP100" i="9"/>
  <c r="AO100"/>
  <c r="AN100"/>
  <c r="AP102" i="10"/>
  <c r="AO102"/>
  <c r="AN102"/>
  <c r="AP91"/>
  <c r="AW96"/>
  <c r="AO91"/>
  <c r="AN91"/>
  <c r="AS91" s="1"/>
  <c r="AV95"/>
  <c r="AT95"/>
  <c r="AR95"/>
  <c r="AS72"/>
  <c r="AS73" s="1"/>
  <c r="AR72"/>
  <c r="AR73" s="1"/>
  <c r="AQ72"/>
  <c r="AQ73"/>
  <c r="AP72"/>
  <c r="AP73" s="1"/>
  <c r="AO72"/>
  <c r="AO73" s="1"/>
  <c r="AN72"/>
  <c r="AN73" s="1"/>
  <c r="AP66"/>
  <c r="AQ57"/>
  <c r="AO57"/>
  <c r="AN59" s="1"/>
  <c r="AM57"/>
  <c r="F50"/>
  <c r="AS45"/>
  <c r="AS46" s="1"/>
  <c r="AR45"/>
  <c r="AR46"/>
  <c r="AQ45"/>
  <c r="AQ46" s="1"/>
  <c r="AP45"/>
  <c r="AP46" s="1"/>
  <c r="AO45"/>
  <c r="AO46" s="1"/>
  <c r="AN45"/>
  <c r="AN46"/>
  <c r="AP39"/>
  <c r="E33"/>
  <c r="AQ30"/>
  <c r="AO30"/>
  <c r="AN37" s="1"/>
  <c r="AM30"/>
  <c r="AP32" s="1"/>
  <c r="AS18"/>
  <c r="AS19" s="1"/>
  <c r="AR18"/>
  <c r="AR19" s="1"/>
  <c r="AQ18"/>
  <c r="AQ19"/>
  <c r="AP18"/>
  <c r="AP19" s="1"/>
  <c r="AO18"/>
  <c r="AO19" s="1"/>
  <c r="AN18"/>
  <c r="AN19" s="1"/>
  <c r="F16"/>
  <c r="AP12"/>
  <c r="AQ3"/>
  <c r="AO3"/>
  <c r="AM3"/>
  <c r="AV95" i="9"/>
  <c r="AT95"/>
  <c r="AR95"/>
  <c r="AP91"/>
  <c r="AO91"/>
  <c r="AN91"/>
  <c r="AR96" s="1"/>
  <c r="AS72"/>
  <c r="AS73" s="1"/>
  <c r="AR72"/>
  <c r="AR73" s="1"/>
  <c r="AQ72"/>
  <c r="AQ73" s="1"/>
  <c r="AP72"/>
  <c r="AP73" s="1"/>
  <c r="AO72"/>
  <c r="AO73" s="1"/>
  <c r="AN72"/>
  <c r="AN73" s="1"/>
  <c r="AP66"/>
  <c r="AQ57"/>
  <c r="AO57"/>
  <c r="AN59" s="1"/>
  <c r="AM57"/>
  <c r="AS45"/>
  <c r="AS46" s="1"/>
  <c r="AR45"/>
  <c r="AR46" s="1"/>
  <c r="AQ45"/>
  <c r="AQ46" s="1"/>
  <c r="AP45"/>
  <c r="AP46" s="1"/>
  <c r="AO45"/>
  <c r="AO46" s="1"/>
  <c r="AN45"/>
  <c r="AN46" s="1"/>
  <c r="AP39"/>
  <c r="E33"/>
  <c r="AQ30"/>
  <c r="AO30"/>
  <c r="AN32" s="1"/>
  <c r="AM30"/>
  <c r="AP32" s="1"/>
  <c r="AO34" s="1"/>
  <c r="AS18"/>
  <c r="AS19" s="1"/>
  <c r="AR18"/>
  <c r="AR19" s="1"/>
  <c r="AQ18"/>
  <c r="AQ19"/>
  <c r="AP18"/>
  <c r="AP19" s="1"/>
  <c r="AO18"/>
  <c r="AO19" s="1"/>
  <c r="AN18"/>
  <c r="AN19" s="1"/>
  <c r="F50"/>
  <c r="F16"/>
  <c r="AP12"/>
  <c r="AQ3"/>
  <c r="AO3"/>
  <c r="AN5" s="1"/>
  <c r="AM3"/>
  <c r="AL58" i="6"/>
  <c r="AM58" s="1"/>
  <c r="AR58"/>
  <c r="AS58" s="1"/>
  <c r="AL59"/>
  <c r="AM59"/>
  <c r="AR59"/>
  <c r="AS59" s="1"/>
  <c r="AL60"/>
  <c r="AM60" s="1"/>
  <c r="AR60"/>
  <c r="AS60" s="1"/>
  <c r="AL61"/>
  <c r="AM61"/>
  <c r="AR61"/>
  <c r="AS61" s="1"/>
  <c r="AL62"/>
  <c r="AM62" s="1"/>
  <c r="AR62"/>
  <c r="AS62" s="1"/>
  <c r="AL63"/>
  <c r="AM63"/>
  <c r="AR63"/>
  <c r="AS63" s="1"/>
  <c r="AL64"/>
  <c r="AM64" s="1"/>
  <c r="AR64"/>
  <c r="AS64" s="1"/>
  <c r="AJ72"/>
  <c r="AM72"/>
  <c r="AJ73"/>
  <c r="AM73"/>
  <c r="AK75"/>
  <c r="AL76"/>
  <c r="AJ47"/>
  <c r="AJ48" s="1"/>
  <c r="AK47"/>
  <c r="AK48" s="1"/>
  <c r="AL47"/>
  <c r="AL48" s="1"/>
  <c r="AM47"/>
  <c r="AM48"/>
  <c r="AN47"/>
  <c r="AN48" s="1"/>
  <c r="AO47"/>
  <c r="AO48" s="1"/>
  <c r="X17"/>
  <c r="E17"/>
  <c r="AL41"/>
  <c r="AM32"/>
  <c r="AK32"/>
  <c r="AJ34" s="1"/>
  <c r="AI32"/>
  <c r="AL14"/>
  <c r="AJ20"/>
  <c r="AJ21" s="1"/>
  <c r="AK20"/>
  <c r="AK21" s="1"/>
  <c r="AL20"/>
  <c r="AL21" s="1"/>
  <c r="AM20"/>
  <c r="AM21"/>
  <c r="AN20"/>
  <c r="AN21" s="1"/>
  <c r="AO20"/>
  <c r="AO21" s="1"/>
  <c r="AM5"/>
  <c r="AK5"/>
  <c r="AI5"/>
  <c r="AI14" i="4"/>
  <c r="AF63"/>
  <c r="AD63"/>
  <c r="E9" i="5"/>
  <c r="E10"/>
  <c r="E11"/>
  <c r="E12"/>
  <c r="E13"/>
  <c r="E14"/>
  <c r="E15"/>
  <c r="D9"/>
  <c r="D10"/>
  <c r="F10" s="1"/>
  <c r="D11"/>
  <c r="D12"/>
  <c r="F12" s="1"/>
  <c r="D13"/>
  <c r="D14"/>
  <c r="D15"/>
  <c r="D8"/>
  <c r="F9" s="1"/>
  <c r="Z70" i="4"/>
  <c r="Y63"/>
  <c r="Y69" s="1"/>
  <c r="W63"/>
  <c r="O11" i="5"/>
  <c r="O13" s="1"/>
  <c r="M11"/>
  <c r="L13" s="1"/>
  <c r="N19"/>
  <c r="AI8"/>
  <c r="AI5"/>
  <c r="AM7" s="1"/>
  <c r="AK4"/>
  <c r="AP16" i="4"/>
  <c r="AP14"/>
  <c r="AH12"/>
  <c r="AF12"/>
  <c r="K40"/>
  <c r="K42" s="1"/>
  <c r="N34"/>
  <c r="J34"/>
  <c r="BC19" s="1"/>
  <c r="BC20" s="1"/>
  <c r="Q13"/>
  <c r="AY31"/>
  <c r="AY32" s="1"/>
  <c r="AW16"/>
  <c r="F15"/>
  <c r="BA15"/>
  <c r="AX7"/>
  <c r="AX8" s="1"/>
  <c r="S18" i="2"/>
  <c r="S17"/>
  <c r="AD32"/>
  <c r="AD33" s="1"/>
  <c r="S16"/>
  <c r="S15"/>
  <c r="Q18"/>
  <c r="Q17"/>
  <c r="Q16"/>
  <c r="V16" s="1"/>
  <c r="Q15"/>
  <c r="AK23"/>
  <c r="AK24" s="1"/>
  <c r="G16" i="3"/>
  <c r="F11"/>
  <c r="W30"/>
  <c r="E16"/>
  <c r="E17" s="1"/>
  <c r="C16"/>
  <c r="AB20" i="2"/>
  <c r="AA20"/>
  <c r="AB19"/>
  <c r="AA19"/>
  <c r="I11" i="3"/>
  <c r="V31"/>
  <c r="C11" i="2"/>
  <c r="F11"/>
  <c r="E13" i="3"/>
  <c r="O13"/>
  <c r="O12"/>
  <c r="O14" s="1"/>
  <c r="Q14" s="1"/>
  <c r="I13" i="2"/>
  <c r="F13"/>
  <c r="N16" i="1"/>
  <c r="L16"/>
  <c r="J23" s="1"/>
  <c r="D16"/>
  <c r="F16"/>
  <c r="L24" s="1"/>
  <c r="L14"/>
  <c r="N14"/>
  <c r="L22" s="1"/>
  <c r="F14"/>
  <c r="M18" i="4"/>
  <c r="BC109" i="12"/>
  <c r="AE32" i="2"/>
  <c r="AE33" s="1"/>
  <c r="AE23"/>
  <c r="AE24" s="1"/>
  <c r="U23" i="3"/>
  <c r="U24" s="1"/>
  <c r="W27"/>
  <c r="W28" s="1"/>
  <c r="W33"/>
  <c r="AK32" i="2"/>
  <c r="AK33"/>
  <c r="AH32"/>
  <c r="AH33"/>
  <c r="AI32"/>
  <c r="AI33"/>
  <c r="AF32"/>
  <c r="AF33"/>
  <c r="AC32"/>
  <c r="AC33"/>
  <c r="AB32"/>
  <c r="AB33"/>
  <c r="AL32"/>
  <c r="AL33"/>
  <c r="AG32"/>
  <c r="AG33"/>
  <c r="AJ32"/>
  <c r="AJ33"/>
  <c r="AB23"/>
  <c r="AB24"/>
  <c r="V20"/>
  <c r="AG29"/>
  <c r="AG30" s="1"/>
  <c r="AL23"/>
  <c r="AL24" s="1"/>
  <c r="AB29"/>
  <c r="AB30" s="1"/>
  <c r="AF23"/>
  <c r="AF24" s="1"/>
  <c r="AJ23"/>
  <c r="AJ24" s="1"/>
  <c r="AK29"/>
  <c r="AK30" s="1"/>
  <c r="BC46" i="4"/>
  <c r="BC47" s="1"/>
  <c r="AP7" i="5"/>
  <c r="AP8" s="1"/>
  <c r="AK7"/>
  <c r="AK8" s="1"/>
  <c r="AQ7"/>
  <c r="AQ8" s="1"/>
  <c r="AY36" i="4"/>
  <c r="AY38" s="1"/>
  <c r="AY7"/>
  <c r="Q20" i="2"/>
  <c r="AI23"/>
  <c r="AI24" s="1"/>
  <c r="AD23"/>
  <c r="AD24" s="1"/>
  <c r="AC23"/>
  <c r="AC24" s="1"/>
  <c r="AH23"/>
  <c r="AH24" s="1"/>
  <c r="S26"/>
  <c r="V18"/>
  <c r="W31" i="3"/>
  <c r="U31"/>
  <c r="AB24" i="13"/>
  <c r="AA41"/>
  <c r="AA43" s="1"/>
  <c r="S21" i="2"/>
  <c r="Z24" i="13"/>
  <c r="Y44"/>
  <c r="BE22" i="4"/>
  <c r="BE23" s="1"/>
  <c r="C37" i="10"/>
  <c r="U27" i="3"/>
  <c r="U28" s="1"/>
  <c r="X27"/>
  <c r="X28" s="1"/>
  <c r="AE27"/>
  <c r="AE28" s="1"/>
  <c r="AG23" i="2"/>
  <c r="AG24" s="1"/>
  <c r="AS7" i="5"/>
  <c r="AS8" s="1"/>
  <c r="AJ7"/>
  <c r="AJ8" s="1"/>
  <c r="F15" i="2"/>
  <c r="I15" s="1"/>
  <c r="Y66" i="4"/>
  <c r="D20" i="10"/>
  <c r="BB15" i="4"/>
  <c r="AZ15"/>
  <c r="AZ7"/>
  <c r="AZ10" s="1"/>
  <c r="BF7"/>
  <c r="BF10" s="1"/>
  <c r="BF11" s="1"/>
  <c r="BG7"/>
  <c r="BH7"/>
  <c r="BH10" s="1"/>
  <c r="BD7"/>
  <c r="BD10" s="1"/>
  <c r="BB7"/>
  <c r="BG10"/>
  <c r="BA7"/>
  <c r="BA10" s="1"/>
  <c r="BA11" s="1"/>
  <c r="BC7"/>
  <c r="BC8"/>
  <c r="AX14"/>
  <c r="BA16"/>
  <c r="AY15"/>
  <c r="AI10" i="2"/>
  <c r="AI11" s="1"/>
  <c r="AH6"/>
  <c r="AH7" s="1"/>
  <c r="AD13"/>
  <c r="AB16"/>
  <c r="AF13"/>
  <c r="AG16"/>
  <c r="AG6"/>
  <c r="AG7" s="1"/>
  <c r="AG13"/>
  <c r="AE10"/>
  <c r="AE11" s="1"/>
  <c r="AJ10"/>
  <c r="AJ11" s="1"/>
  <c r="AG14"/>
  <c r="AP5" i="10"/>
  <c r="AO7" s="1"/>
  <c r="BB19" i="4"/>
  <c r="BB20" s="1"/>
  <c r="AF69"/>
  <c r="AW15"/>
  <c r="N21" i="2"/>
  <c r="AX15" i="4"/>
  <c r="BA22"/>
  <c r="BA23" s="1"/>
  <c r="AO34" i="10"/>
  <c r="AE23" i="3"/>
  <c r="AE24"/>
  <c r="AA27"/>
  <c r="AA28"/>
  <c r="W23"/>
  <c r="W24"/>
  <c r="X36"/>
  <c r="X35" s="1"/>
  <c r="G17"/>
  <c r="AA36" s="1"/>
  <c r="AD27"/>
  <c r="AD28" s="1"/>
  <c r="X32"/>
  <c r="X31"/>
  <c r="W32"/>
  <c r="AC23"/>
  <c r="AC24"/>
  <c r="Z23"/>
  <c r="Z24"/>
  <c r="AC27"/>
  <c r="AC28"/>
  <c r="Z30"/>
  <c r="X33"/>
  <c r="AD23"/>
  <c r="AD24"/>
  <c r="V33"/>
  <c r="U30"/>
  <c r="Z27"/>
  <c r="Z28"/>
  <c r="V30"/>
  <c r="AB23"/>
  <c r="AB24" s="1"/>
  <c r="V27"/>
  <c r="V28" s="1"/>
  <c r="AB35" i="13"/>
  <c r="C17"/>
  <c r="AD41"/>
  <c r="AD43" s="1"/>
  <c r="AD42"/>
  <c r="AA20"/>
  <c r="Z35"/>
  <c r="AC35"/>
  <c r="AA24"/>
  <c r="Y41"/>
  <c r="Y43" s="1"/>
  <c r="AP112" i="11"/>
  <c r="AR7" i="5"/>
  <c r="AR8" s="1"/>
  <c r="AO7"/>
  <c r="X23" i="3"/>
  <c r="X24" s="1"/>
  <c r="U33"/>
  <c r="AR104" i="11"/>
  <c r="AF14" i="2"/>
  <c r="N20"/>
  <c r="AZ8" i="4"/>
  <c r="G19"/>
  <c r="AX10"/>
  <c r="AX11"/>
  <c r="AZ31"/>
  <c r="AZ32" s="1"/>
  <c r="AK30" i="16"/>
  <c r="Q21" i="2"/>
  <c r="AH26"/>
  <c r="AH27" s="1"/>
  <c r="AC26"/>
  <c r="AC27" s="1"/>
  <c r="AJ26"/>
  <c r="AJ27" s="1"/>
  <c r="AX31" i="4"/>
  <c r="AX32" s="1"/>
  <c r="AW91" i="10"/>
  <c r="AV96"/>
  <c r="F13" i="5"/>
  <c r="G22" i="4"/>
  <c r="AS112" i="11"/>
  <c r="AR104" i="12"/>
  <c r="AE14" i="2"/>
  <c r="V21"/>
  <c r="BE36" i="4"/>
  <c r="BE38" s="1"/>
  <c r="BE31"/>
  <c r="BE32" s="1"/>
  <c r="AY110" i="12"/>
  <c r="AZ110"/>
  <c r="AR110"/>
  <c r="AP5" i="11"/>
  <c r="AO7"/>
  <c r="D16" s="1"/>
  <c r="AO112"/>
  <c r="AY105"/>
  <c r="AX110"/>
  <c r="AP32"/>
  <c r="AO34" s="1"/>
  <c r="AM8" i="5"/>
  <c r="BE8" i="4"/>
  <c r="BE10"/>
  <c r="BE11"/>
  <c r="AJ30" i="16"/>
  <c r="T26" i="2"/>
  <c r="T27" s="1"/>
  <c r="P26"/>
  <c r="AU18"/>
  <c r="AW18" s="1"/>
  <c r="AI30" i="16"/>
  <c r="I78"/>
  <c r="AN5" i="10"/>
  <c r="AR37"/>
  <c r="C37" i="11"/>
  <c r="BC110"/>
  <c r="BB110"/>
  <c r="AP59"/>
  <c r="AO61" s="1"/>
  <c r="D50" s="1"/>
  <c r="D54"/>
  <c r="AN64"/>
  <c r="AO77" s="1"/>
  <c r="AN59"/>
  <c r="AN37"/>
  <c r="AS50"/>
  <c r="AN32"/>
  <c r="D20"/>
  <c r="AN10"/>
  <c r="AS23"/>
  <c r="AP5" i="12"/>
  <c r="AO7"/>
  <c r="AN12" s="1"/>
  <c r="AZ105"/>
  <c r="D20"/>
  <c r="AU43" s="1"/>
  <c r="AN5"/>
  <c r="AN10"/>
  <c r="AP23" s="1"/>
  <c r="AN10" i="10"/>
  <c r="AS23" s="1"/>
  <c r="C37" i="9"/>
  <c r="AN37"/>
  <c r="AS50" s="1"/>
  <c r="T82" i="16"/>
  <c r="S81"/>
  <c r="G78"/>
  <c r="H78"/>
  <c r="J78"/>
  <c r="K78"/>
  <c r="D15"/>
  <c r="I40" s="1"/>
  <c r="V79" s="1"/>
  <c r="V80" s="1"/>
  <c r="U81" s="1"/>
  <c r="AY8" i="4"/>
  <c r="W35" i="3"/>
  <c r="AB15" i="2"/>
  <c r="AF15"/>
  <c r="AD14"/>
  <c r="AD15"/>
  <c r="AB14"/>
  <c r="AC14"/>
  <c r="V32" i="3"/>
  <c r="Y31"/>
  <c r="Y32"/>
  <c r="U32"/>
  <c r="Z31"/>
  <c r="Z32"/>
  <c r="AC29" i="2"/>
  <c r="AC30"/>
  <c r="AE29"/>
  <c r="AE30"/>
  <c r="AJ29"/>
  <c r="AJ30"/>
  <c r="AI29"/>
  <c r="AI30"/>
  <c r="AL29"/>
  <c r="AL30"/>
  <c r="AF29"/>
  <c r="AF30"/>
  <c r="V17"/>
  <c r="AH29"/>
  <c r="AH30" s="1"/>
  <c r="AD29"/>
  <c r="AD30" s="1"/>
  <c r="M24" i="5"/>
  <c r="AL7" i="6"/>
  <c r="AK9" s="1"/>
  <c r="AJ14" s="1"/>
  <c r="AL34"/>
  <c r="AK36" s="1"/>
  <c r="AJ39"/>
  <c r="AL52" s="1"/>
  <c r="V21"/>
  <c r="AV96" i="9"/>
  <c r="AW91"/>
  <c r="AW96"/>
  <c r="AP59" i="10"/>
  <c r="AO61" s="1"/>
  <c r="D54"/>
  <c r="AN64"/>
  <c r="AS77"/>
  <c r="AU91"/>
  <c r="AU96"/>
  <c r="AT96"/>
  <c r="AC41" i="13"/>
  <c r="AC43" s="1"/>
  <c r="AB41"/>
  <c r="AA29"/>
  <c r="AJ5" i="16"/>
  <c r="AL5"/>
  <c r="AH5"/>
  <c r="AK5"/>
  <c r="Y23" i="3"/>
  <c r="Y24"/>
  <c r="C17"/>
  <c r="Y30"/>
  <c r="V23"/>
  <c r="V24"/>
  <c r="Y27"/>
  <c r="Y28"/>
  <c r="AB27"/>
  <c r="AB28"/>
  <c r="Y33"/>
  <c r="Z33"/>
  <c r="AA23"/>
  <c r="AA24"/>
  <c r="X30"/>
  <c r="F11" i="5"/>
  <c r="E45" i="16"/>
  <c r="AJ12" i="6"/>
  <c r="AL25" s="1"/>
  <c r="P82" i="16"/>
  <c r="AH8"/>
  <c r="AK8" s="1"/>
  <c r="S82"/>
  <c r="P81"/>
  <c r="U82"/>
  <c r="Q82"/>
  <c r="R82"/>
  <c r="T81"/>
  <c r="U78"/>
  <c r="T78"/>
  <c r="H45"/>
  <c r="AL9"/>
  <c r="AL8"/>
  <c r="P78"/>
  <c r="S47"/>
  <c r="AG11"/>
  <c r="AI7"/>
  <c r="AI9"/>
  <c r="AH9"/>
  <c r="AK9" s="1"/>
  <c r="R78"/>
  <c r="Q78"/>
  <c r="S78"/>
  <c r="R81"/>
  <c r="V76"/>
  <c r="V77" s="1"/>
  <c r="G27"/>
  <c r="Q81"/>
  <c r="O47"/>
  <c r="P47"/>
  <c r="R47"/>
  <c r="AI5"/>
  <c r="AI11" s="1"/>
  <c r="AJ6"/>
  <c r="AL6"/>
  <c r="AF11"/>
  <c r="AI6"/>
  <c r="AJ7"/>
  <c r="AL7"/>
  <c r="B15"/>
  <c r="AH7"/>
  <c r="AK7" s="1"/>
  <c r="AI8"/>
  <c r="AJ7" i="6"/>
  <c r="C21"/>
  <c r="Q24" i="2"/>
  <c r="Q26"/>
  <c r="Q27"/>
  <c r="AC36" i="3"/>
  <c r="AC35"/>
  <c r="BD8" i="4"/>
  <c r="AN52" i="6"/>
  <c r="AK52"/>
  <c r="AO52"/>
  <c r="AB36" i="3"/>
  <c r="AA35" s="1"/>
  <c r="AS64" i="11"/>
  <c r="AO78"/>
  <c r="AN77"/>
  <c r="AR77"/>
  <c r="AR78" s="1"/>
  <c r="AN77" i="10"/>
  <c r="AN78"/>
  <c r="AR77"/>
  <c r="AP77"/>
  <c r="AO77"/>
  <c r="AM25" i="6"/>
  <c r="AJ25"/>
  <c r="AP50" i="9"/>
  <c r="AR23" i="10"/>
  <c r="AP23"/>
  <c r="AO23"/>
  <c r="AN23"/>
  <c r="AN23" i="12"/>
  <c r="AR23"/>
  <c r="AP24"/>
  <c r="AP50" i="11"/>
  <c r="AO50"/>
  <c r="AN50"/>
  <c r="AR50"/>
  <c r="BD11" i="4"/>
  <c r="AR23" i="11"/>
  <c r="AR24" s="1"/>
  <c r="AP23"/>
  <c r="AP24" s="1"/>
  <c r="AO23"/>
  <c r="AO24" s="1"/>
  <c r="AN23"/>
  <c r="AN24" s="1"/>
  <c r="AN39" i="10"/>
  <c r="C33"/>
  <c r="Y36" i="3"/>
  <c r="Y35" s="1"/>
  <c r="BH11" i="4"/>
  <c r="BF8"/>
  <c r="BC10"/>
  <c r="BC11"/>
  <c r="AZ16"/>
  <c r="BA8"/>
  <c r="AX16"/>
  <c r="BB16"/>
  <c r="AY16"/>
  <c r="Z36" i="3"/>
  <c r="W36"/>
  <c r="Z41" i="13"/>
  <c r="AA19"/>
  <c r="AA34"/>
  <c r="Z34"/>
  <c r="AB34"/>
  <c r="AN12" i="11"/>
  <c r="AN14"/>
  <c r="AR13" s="1"/>
  <c r="AS14" i="10"/>
  <c r="AP24"/>
  <c r="AP84" i="11"/>
  <c r="AT88"/>
  <c r="AS88" s="1"/>
  <c r="AQ77"/>
  <c r="AQ78" s="1"/>
  <c r="AR64"/>
  <c r="AQ84"/>
  <c r="AS68"/>
  <c r="AN66"/>
  <c r="AS37"/>
  <c r="AR37"/>
  <c r="AS41"/>
  <c r="AQ50"/>
  <c r="AR10"/>
  <c r="AO84"/>
  <c r="AS24"/>
  <c r="AS14"/>
  <c r="AQ23"/>
  <c r="AQ24" s="1"/>
  <c r="AS10"/>
  <c r="AS14" i="12"/>
  <c r="AQ23"/>
  <c r="AR24"/>
  <c r="AO84"/>
  <c r="AR10"/>
  <c r="AS10"/>
  <c r="AS41" i="9"/>
  <c r="AQ23" i="10"/>
  <c r="AR10"/>
  <c r="AO84"/>
  <c r="AV79"/>
  <c r="AU79" s="1"/>
  <c r="AS10"/>
  <c r="AQ50" i="9"/>
  <c r="AO16" i="6"/>
  <c r="U36" i="3"/>
  <c r="V36"/>
  <c r="T36"/>
  <c r="T35"/>
  <c r="AB43" i="13"/>
  <c r="AO43" i="6"/>
  <c r="AO39"/>
  <c r="AS64" i="10"/>
  <c r="AS68"/>
  <c r="AR78"/>
  <c r="AQ77"/>
  <c r="AQ84"/>
  <c r="AO78"/>
  <c r="AR64"/>
  <c r="AN66"/>
  <c r="AB35" i="3"/>
  <c r="Z35"/>
  <c r="AH11" i="16"/>
  <c r="H40"/>
  <c r="I46" s="1"/>
  <c r="AJ11"/>
  <c r="AB19" i="13"/>
  <c r="AI17"/>
  <c r="Y20" s="1"/>
  <c r="AF17"/>
  <c r="AN90" i="10"/>
  <c r="F20" i="11"/>
  <c r="AN119" s="1"/>
  <c r="AS13"/>
  <c r="AN84" i="10"/>
  <c r="AP105" i="11"/>
  <c r="AS105" s="1"/>
  <c r="AU83"/>
  <c r="AV83" s="1"/>
  <c r="AS93"/>
  <c r="AS95" s="1"/>
  <c r="AN93"/>
  <c r="AN95" s="1"/>
  <c r="AQ93"/>
  <c r="AP93" i="12"/>
  <c r="AP95" s="1"/>
  <c r="AN105"/>
  <c r="AR109" s="1"/>
  <c r="AM93"/>
  <c r="AM95" s="1"/>
  <c r="AT83"/>
  <c r="AS83" s="1"/>
  <c r="AR84" i="10"/>
  <c r="U35" i="3"/>
  <c r="V35"/>
  <c r="AN68" i="10"/>
  <c r="AS67" s="1"/>
  <c r="F54"/>
  <c r="AP101" s="1"/>
  <c r="AS95"/>
  <c r="AB20" i="13"/>
  <c r="AT111" i="11"/>
  <c r="AM108" i="12"/>
  <c r="BA109" i="11"/>
  <c r="AZ104"/>
  <c r="AN108" i="12"/>
  <c r="AZ104"/>
  <c r="AQ85" i="10"/>
  <c r="AR85" s="1"/>
  <c r="AR67"/>
  <c r="AX52" i="12"/>
  <c r="D25" s="1"/>
  <c r="S14" i="4"/>
  <c r="U16" s="1"/>
  <c r="BH36"/>
  <c r="BH38" s="1"/>
  <c r="BD36"/>
  <c r="BD38" s="1"/>
  <c r="BH31"/>
  <c r="BH32" s="1"/>
  <c r="W21"/>
  <c r="BD31"/>
  <c r="BD32" s="1"/>
  <c r="BE41"/>
  <c r="BE42" s="1"/>
  <c r="BC31"/>
  <c r="BC32" s="1"/>
  <c r="S19"/>
  <c r="AX36"/>
  <c r="AX37" s="1"/>
  <c r="Q14"/>
  <c r="R16" s="1"/>
  <c r="BH46"/>
  <c r="BH47" s="1"/>
  <c r="BD41"/>
  <c r="BD42" s="1"/>
  <c r="BG46"/>
  <c r="BG47" s="1"/>
  <c r="X14"/>
  <c r="Y16" s="1"/>
  <c r="AZ41"/>
  <c r="AZ43" s="1"/>
  <c r="AY46"/>
  <c r="AY47" s="1"/>
  <c r="BH41"/>
  <c r="BH43" s="1"/>
  <c r="BD46"/>
  <c r="BD47" s="1"/>
  <c r="AX41"/>
  <c r="AX43" s="1"/>
  <c r="AZ46"/>
  <c r="AZ47" s="1"/>
  <c r="BG41"/>
  <c r="BG42" s="1"/>
  <c r="BA46"/>
  <c r="BA47" s="1"/>
  <c r="AY41"/>
  <c r="AY43" s="1"/>
  <c r="Z14"/>
  <c r="AB16"/>
  <c r="BB41"/>
  <c r="BB43" s="1"/>
  <c r="BC41"/>
  <c r="BC42" s="1"/>
  <c r="BE46"/>
  <c r="BE47"/>
  <c r="BF46"/>
  <c r="BF47" s="1"/>
  <c r="BF41"/>
  <c r="BF42" s="1"/>
  <c r="BA41"/>
  <c r="BA43" s="1"/>
  <c r="AX46"/>
  <c r="AX47" s="1"/>
  <c r="BG36"/>
  <c r="BG38" s="1"/>
  <c r="AZ36"/>
  <c r="AZ38" s="1"/>
  <c r="BD37"/>
  <c r="AY37"/>
  <c r="BE37"/>
  <c r="BG31"/>
  <c r="BG32"/>
  <c r="BA36"/>
  <c r="BA37" s="1"/>
  <c r="BF36"/>
  <c r="BF37" s="1"/>
  <c r="BB36"/>
  <c r="BB31"/>
  <c r="BB32" s="1"/>
  <c r="BF31"/>
  <c r="BF32" s="1"/>
  <c r="BA31"/>
  <c r="BA32" s="1"/>
  <c r="BC36"/>
  <c r="Z19"/>
  <c r="BD43"/>
  <c r="BH37"/>
  <c r="AZ37"/>
  <c r="AX42"/>
  <c r="BG43"/>
  <c r="AY42"/>
  <c r="BG37"/>
  <c r="BC37"/>
  <c r="BC38"/>
  <c r="BB37"/>
  <c r="BB38"/>
  <c r="BA38"/>
  <c r="BF38"/>
  <c r="J22" i="1"/>
  <c r="J21"/>
  <c r="AZ22" i="4" l="1"/>
  <c r="AZ23" s="1"/>
  <c r="BD22"/>
  <c r="BD23" s="1"/>
  <c r="BE19"/>
  <c r="BE20" s="1"/>
  <c r="BC22"/>
  <c r="BC23" s="1"/>
  <c r="BB22"/>
  <c r="BB23" s="1"/>
  <c r="AY19"/>
  <c r="AY20" s="1"/>
  <c r="N35"/>
  <c r="BD19"/>
  <c r="BD20" s="1"/>
  <c r="AZ19"/>
  <c r="AZ20" s="1"/>
  <c r="AY22"/>
  <c r="AY23" s="1"/>
  <c r="O37"/>
  <c r="BA19"/>
  <c r="BA20" s="1"/>
  <c r="J35"/>
  <c r="K37" s="1"/>
  <c r="AN7" i="5"/>
  <c r="AN8" s="1"/>
  <c r="AL7"/>
  <c r="AL8" s="1"/>
  <c r="AI9"/>
  <c r="AR9"/>
  <c r="AN9"/>
  <c r="AK9"/>
  <c r="AP9"/>
  <c r="N20"/>
  <c r="AQ9"/>
  <c r="AL9"/>
  <c r="AK53" i="6"/>
  <c r="AJ41"/>
  <c r="AO53"/>
  <c r="V17"/>
  <c r="AL53"/>
  <c r="E21"/>
  <c r="AJ16"/>
  <c r="AJ15" i="4"/>
  <c r="AJ18"/>
  <c r="AL26" i="6"/>
  <c r="J24" i="1"/>
  <c r="L21"/>
  <c r="BC43" i="4"/>
  <c r="BF43"/>
  <c r="BE43"/>
  <c r="AZ109" i="12"/>
  <c r="AY104"/>
  <c r="BA104" i="11"/>
  <c r="AR105" i="12"/>
  <c r="C28" i="16"/>
  <c r="C29" s="1"/>
  <c r="D24"/>
  <c r="H79" s="1"/>
  <c r="F28"/>
  <c r="F29" s="1"/>
  <c r="C24"/>
  <c r="G79" s="1"/>
  <c r="G24"/>
  <c r="K79" s="1"/>
  <c r="D28"/>
  <c r="D29" s="1"/>
  <c r="E24"/>
  <c r="I79" s="1"/>
  <c r="G28"/>
  <c r="G29" s="1"/>
  <c r="E28"/>
  <c r="E29" s="1"/>
  <c r="F24"/>
  <c r="J79" s="1"/>
  <c r="E40"/>
  <c r="O79" s="1"/>
  <c r="O80" s="1"/>
  <c r="F40"/>
  <c r="AD39" i="13"/>
  <c r="L38" s="1"/>
  <c r="N38" s="1"/>
  <c r="AM52" i="6"/>
  <c r="AM53" s="1"/>
  <c r="AN39"/>
  <c r="AB39" i="13"/>
  <c r="J38" s="1"/>
  <c r="G95" i="16"/>
  <c r="G96" s="1"/>
  <c r="I95"/>
  <c r="I96" s="1"/>
  <c r="F95"/>
  <c r="F96" s="1"/>
  <c r="H95"/>
  <c r="H96" s="1"/>
  <c r="AN12" i="6"/>
  <c r="BH8" i="4"/>
  <c r="AO25" i="6"/>
  <c r="AJ52"/>
  <c r="AJ53" s="1"/>
  <c r="AG15" i="2"/>
  <c r="AC15"/>
  <c r="AE15"/>
  <c r="AB26"/>
  <c r="AB27" s="1"/>
  <c r="AL26"/>
  <c r="AL27" s="1"/>
  <c r="AI26"/>
  <c r="AI27" s="1"/>
  <c r="AG26"/>
  <c r="AG27" s="1"/>
  <c r="AK26"/>
  <c r="AK27" s="1"/>
  <c r="AE26"/>
  <c r="AE27" s="1"/>
  <c r="AD26"/>
  <c r="AD27" s="1"/>
  <c r="V15"/>
  <c r="S20"/>
  <c r="AF26"/>
  <c r="AF27" s="1"/>
  <c r="K19" i="5"/>
  <c r="Q32"/>
  <c r="Q33" s="1"/>
  <c r="K24"/>
  <c r="M25" s="1"/>
  <c r="K20"/>
  <c r="AM9"/>
  <c r="F15"/>
  <c r="F14"/>
  <c r="F20" i="12"/>
  <c r="G13" i="4"/>
  <c r="Q47" i="16"/>
  <c r="AN32" i="10"/>
  <c r="AS96"/>
  <c r="AR96"/>
  <c r="AJ9" i="5"/>
  <c r="AD44" i="13"/>
  <c r="L23" i="1"/>
  <c r="AP5" i="9"/>
  <c r="AR37"/>
  <c r="AS37"/>
  <c r="AO50"/>
  <c r="AN10"/>
  <c r="AN50"/>
  <c r="AP84"/>
  <c r="AR50"/>
  <c r="AR51" s="1"/>
  <c r="AS91"/>
  <c r="AS96"/>
  <c r="AQ51"/>
  <c r="AO51"/>
  <c r="AP51"/>
  <c r="AS51"/>
  <c r="C33"/>
  <c r="AO84"/>
  <c r="D20"/>
  <c r="AO7"/>
  <c r="D16" s="1"/>
  <c r="AQ23"/>
  <c r="AO23"/>
  <c r="AO115" i="12"/>
  <c r="AQ30"/>
  <c r="E42"/>
  <c r="V78" i="16"/>
  <c r="V82"/>
  <c r="AP59" i="9"/>
  <c r="AO61" s="1"/>
  <c r="D54"/>
  <c r="AN64"/>
  <c r="AU96"/>
  <c r="AT96"/>
  <c r="AU91"/>
  <c r="AP50" i="10"/>
  <c r="AP51" s="1"/>
  <c r="AS50"/>
  <c r="AS51" s="1"/>
  <c r="AR50"/>
  <c r="AR51" s="1"/>
  <c r="AO50"/>
  <c r="AO51" s="1"/>
  <c r="AP84"/>
  <c r="AS41"/>
  <c r="AQ50"/>
  <c r="AQ51" s="1"/>
  <c r="AN41"/>
  <c r="E37"/>
  <c r="AO101" s="1"/>
  <c r="AN50"/>
  <c r="AN51" s="1"/>
  <c r="AS37"/>
  <c r="BA105" i="11"/>
  <c r="AS104"/>
  <c r="AT112"/>
  <c r="AZ110"/>
  <c r="BA110"/>
  <c r="AU45" i="12"/>
  <c r="AN114"/>
  <c r="G40" i="16"/>
  <c r="G45"/>
  <c r="F45"/>
  <c r="BA42" i="4"/>
  <c r="BB42"/>
  <c r="BH42"/>
  <c r="AZ42"/>
  <c r="AW85" i="10"/>
  <c r="H81" i="16"/>
  <c r="F84" s="1"/>
  <c r="E89" s="1"/>
  <c r="AX38" i="4"/>
  <c r="AS90" i="10"/>
  <c r="AR90"/>
  <c r="Z39" i="13"/>
  <c r="N39" s="1"/>
  <c r="Z43"/>
  <c r="AN39" i="11"/>
  <c r="AP51"/>
  <c r="C33"/>
  <c r="AO51"/>
  <c r="AN51"/>
  <c r="AQ51"/>
  <c r="AS51"/>
  <c r="AR51"/>
  <c r="D16" i="10"/>
  <c r="AR24"/>
  <c r="AN12"/>
  <c r="AS24"/>
  <c r="AQ24"/>
  <c r="AO24"/>
  <c r="AN24"/>
  <c r="AO105" i="11"/>
  <c r="AT83"/>
  <c r="AS83" s="1"/>
  <c r="AP93"/>
  <c r="AQ105"/>
  <c r="AU88"/>
  <c r="AV88" s="1"/>
  <c r="AT93"/>
  <c r="AK11" i="16"/>
  <c r="AS65" i="10"/>
  <c r="AQ95" i="11"/>
  <c r="AN68"/>
  <c r="F54"/>
  <c r="AP119" s="1"/>
  <c r="AO85"/>
  <c r="AS11"/>
  <c r="AP78" i="10"/>
  <c r="AQ78"/>
  <c r="AS78"/>
  <c r="D50"/>
  <c r="AO26" i="6"/>
  <c r="C17"/>
  <c r="AM26"/>
  <c r="AJ26"/>
  <c r="AO9" i="5"/>
  <c r="AO8"/>
  <c r="BB10" i="4"/>
  <c r="BB11" s="1"/>
  <c r="BB8"/>
  <c r="F46" i="16"/>
  <c r="AM93" i="11"/>
  <c r="AW84" i="10"/>
  <c r="AX84" s="1"/>
  <c r="AP90"/>
  <c r="AN14" i="12"/>
  <c r="AN51" i="9"/>
  <c r="AN39"/>
  <c r="AL11" i="16"/>
  <c r="N15" s="1"/>
  <c r="F81"/>
  <c r="K84" s="1"/>
  <c r="D16" i="12"/>
  <c r="AN24"/>
  <c r="AQ24"/>
  <c r="AN78" i="11"/>
  <c r="AO23" i="12"/>
  <c r="AO24" s="1"/>
  <c r="AK25" i="6"/>
  <c r="AK26" s="1"/>
  <c r="AN25"/>
  <c r="AN26" s="1"/>
  <c r="AP77" i="11"/>
  <c r="AP78" s="1"/>
  <c r="AN53" i="6"/>
  <c r="AS23" i="12"/>
  <c r="AS24" s="1"/>
  <c r="AS77" i="11"/>
  <c r="AS78" s="1"/>
  <c r="AZ11" i="4"/>
  <c r="AE16" i="2"/>
  <c r="AF10"/>
  <c r="AF11" s="1"/>
  <c r="AJ6"/>
  <c r="AJ7" s="1"/>
  <c r="AF6"/>
  <c r="AF7" s="1"/>
  <c r="AI6"/>
  <c r="AI7" s="1"/>
  <c r="AE13"/>
  <c r="AD16"/>
  <c r="AF16"/>
  <c r="AB13"/>
  <c r="AD10"/>
  <c r="AD11" s="1"/>
  <c r="AG10"/>
  <c r="AG11" s="1"/>
  <c r="AC13"/>
  <c r="AE6"/>
  <c r="AE7" s="1"/>
  <c r="AD6"/>
  <c r="AD7" s="1"/>
  <c r="AH10"/>
  <c r="AH11" s="1"/>
  <c r="AC16"/>
  <c r="AO12" i="6"/>
  <c r="BG8" i="4"/>
  <c r="BG11"/>
  <c r="AY10"/>
  <c r="AY11" s="1"/>
  <c r="AC44" i="13"/>
  <c r="Z44"/>
  <c r="AB44"/>
  <c r="M21" i="5" l="1"/>
  <c r="K27"/>
  <c r="M27"/>
  <c r="AK13" s="1"/>
  <c r="AK12"/>
  <c r="O81" i="16"/>
  <c r="O82"/>
  <c r="AO15" i="6"/>
  <c r="AO13"/>
  <c r="AN15"/>
  <c r="X21"/>
  <c r="AJ43"/>
  <c r="AN23" i="9"/>
  <c r="AN24" s="1"/>
  <c r="AS10"/>
  <c r="AS23"/>
  <c r="AS24" s="1"/>
  <c r="AS14"/>
  <c r="AR10"/>
  <c r="AO90"/>
  <c r="AV83"/>
  <c r="AW83" s="1"/>
  <c r="AP23"/>
  <c r="AP24" s="1"/>
  <c r="AR23"/>
  <c r="AR24" s="1"/>
  <c r="AN84"/>
  <c r="AU83"/>
  <c r="AT83" s="1"/>
  <c r="AN90"/>
  <c r="AO24"/>
  <c r="AN12"/>
  <c r="AQ24"/>
  <c r="AW95" i="10"/>
  <c r="AV90"/>
  <c r="AW90"/>
  <c r="AN91" i="11"/>
  <c r="AM95"/>
  <c r="P46"/>
  <c r="AO111"/>
  <c r="AN111" s="1"/>
  <c r="AY109"/>
  <c r="AU105"/>
  <c r="AS103" s="1"/>
  <c r="AY104"/>
  <c r="AX104"/>
  <c r="AS111"/>
  <c r="AR105"/>
  <c r="E37"/>
  <c r="AO119" s="1"/>
  <c r="AN41"/>
  <c r="BA47" i="12"/>
  <c r="BA52" s="1"/>
  <c r="G25" s="1"/>
  <c r="AX47"/>
  <c r="AV84" i="10"/>
  <c r="AU84" s="1"/>
  <c r="AO90"/>
  <c r="AW79"/>
  <c r="AX79" s="1"/>
  <c r="AS77" i="9"/>
  <c r="AS78" s="1"/>
  <c r="AR77"/>
  <c r="AR78" s="1"/>
  <c r="AQ77"/>
  <c r="AQ78" s="1"/>
  <c r="AR64"/>
  <c r="AO77"/>
  <c r="AS64"/>
  <c r="AN77"/>
  <c r="AS68"/>
  <c r="AP77"/>
  <c r="AP78" s="1"/>
  <c r="AQ84"/>
  <c r="K89" i="16"/>
  <c r="J93"/>
  <c r="AS11" i="12"/>
  <c r="AR13"/>
  <c r="AO85"/>
  <c r="AS13"/>
  <c r="AQ85" i="11"/>
  <c r="AS65"/>
  <c r="AS67"/>
  <c r="AR67"/>
  <c r="AU103"/>
  <c r="AR103" s="1"/>
  <c r="BC104"/>
  <c r="BC109"/>
  <c r="BB104"/>
  <c r="AP111"/>
  <c r="F20" i="10"/>
  <c r="AN101" s="1"/>
  <c r="AN14"/>
  <c r="AP85"/>
  <c r="AR40"/>
  <c r="AS38"/>
  <c r="AS40"/>
  <c r="AQ57" i="12"/>
  <c r="AO57"/>
  <c r="AP115"/>
  <c r="AP95" i="11"/>
  <c r="L44"/>
  <c r="H46" i="16"/>
  <c r="G46"/>
  <c r="D50" i="9"/>
  <c r="AN78"/>
  <c r="AN66"/>
  <c r="AO78"/>
  <c r="AJ14" i="16"/>
  <c r="AH14"/>
  <c r="P15"/>
  <c r="AK14" s="1"/>
  <c r="AI14"/>
  <c r="AN41" i="9"/>
  <c r="E37"/>
  <c r="AO99" s="1"/>
  <c r="AT84" i="11"/>
  <c r="AM94"/>
  <c r="AP94"/>
  <c r="N44"/>
  <c r="AT91"/>
  <c r="AT95"/>
  <c r="AQ91"/>
  <c r="AO40" i="6" l="1"/>
  <c r="AN42"/>
  <c r="AO42"/>
  <c r="AL14" i="16"/>
  <c r="AU95" i="9"/>
  <c r="AU90"/>
  <c r="AT90"/>
  <c r="AS95"/>
  <c r="AS90"/>
  <c r="AR90"/>
  <c r="AN14"/>
  <c r="F20"/>
  <c r="AN99" s="1"/>
  <c r="AP90"/>
  <c r="AR84"/>
  <c r="AQ96" i="11"/>
  <c r="AT96"/>
  <c r="AS96"/>
  <c r="AP96"/>
  <c r="AN59" i="12"/>
  <c r="AU107" i="11"/>
  <c r="AQ111"/>
  <c r="AR107"/>
  <c r="AT94"/>
  <c r="AQ94"/>
  <c r="AU89"/>
  <c r="AV52" i="12"/>
  <c r="A25" s="1"/>
  <c r="AP45" s="1"/>
  <c r="AP47" s="1"/>
  <c r="AS40" i="11"/>
  <c r="AP85"/>
  <c r="AS38"/>
  <c r="AR40"/>
  <c r="P44"/>
  <c r="AV85" i="10"/>
  <c r="AW80"/>
  <c r="J94" i="16"/>
  <c r="J95"/>
  <c r="AO45" i="12"/>
  <c r="AO47" s="1"/>
  <c r="AO30"/>
  <c r="AQ45"/>
  <c r="AQ47" s="1"/>
  <c r="AN45"/>
  <c r="AN47" s="1"/>
  <c r="AS40" i="9"/>
  <c r="AR40"/>
  <c r="AS38"/>
  <c r="AP85"/>
  <c r="AV84" s="1"/>
  <c r="AN96" i="11"/>
  <c r="AM96"/>
  <c r="AN68" i="9"/>
  <c r="F54"/>
  <c r="AP99" s="1"/>
  <c r="AR13" i="10"/>
  <c r="AO85"/>
  <c r="AS11"/>
  <c r="AS13"/>
  <c r="AM94" i="12"/>
  <c r="AT84"/>
  <c r="AP94"/>
  <c r="AU95" i="10"/>
  <c r="AT90"/>
  <c r="AU90"/>
  <c r="AS45" i="12" l="1"/>
  <c r="AS47" s="1"/>
  <c r="AR45"/>
  <c r="AR47" s="1"/>
  <c r="AS13" i="9"/>
  <c r="AS11"/>
  <c r="AO85"/>
  <c r="AR13"/>
  <c r="AN96" i="12"/>
  <c r="AM96"/>
  <c r="AN32"/>
  <c r="J96" i="16"/>
  <c r="AP96" i="12"/>
  <c r="AT96"/>
  <c r="AQ96"/>
  <c r="AS96"/>
  <c r="AQ85" i="9"/>
  <c r="AR85" s="1"/>
  <c r="AS67"/>
  <c r="AR67"/>
  <c r="AS65"/>
  <c r="AN85" i="10"/>
  <c r="AV80"/>
  <c r="BB77" s="1"/>
  <c r="BE82"/>
  <c r="BB82"/>
  <c r="AN94" i="11"/>
  <c r="AU84"/>
  <c r="AT89"/>
  <c r="BC86" s="1"/>
  <c r="AS94"/>
  <c r="AM30" i="12"/>
  <c r="AP32" s="1"/>
  <c r="AO34" s="1"/>
  <c r="AR46"/>
  <c r="AS46"/>
  <c r="B42"/>
  <c r="AP46"/>
  <c r="AN46"/>
  <c r="AO46"/>
  <c r="AQ46"/>
  <c r="AO104"/>
  <c r="AQ112" i="11"/>
  <c r="AN112"/>
  <c r="AV90" i="9"/>
  <c r="AW95"/>
  <c r="AW90"/>
  <c r="BE77" i="10" l="1"/>
  <c r="AU84" i="9"/>
  <c r="AN85"/>
  <c r="C33" i="12"/>
  <c r="AN39"/>
  <c r="AU80" i="10"/>
  <c r="AX80"/>
  <c r="AN37" i="12"/>
  <c r="AZ86" i="11"/>
  <c r="AZ81"/>
  <c r="BC81"/>
  <c r="BB110" i="12"/>
  <c r="BA110"/>
  <c r="AS110"/>
  <c r="BB105"/>
  <c r="AO72"/>
  <c r="AP72"/>
  <c r="AQ72"/>
  <c r="AQ73" s="1"/>
  <c r="AR72"/>
  <c r="AO73"/>
  <c r="AP73"/>
  <c r="AP104"/>
  <c r="AS72"/>
  <c r="AS73" s="1"/>
  <c r="AN72"/>
  <c r="AN73" s="1"/>
  <c r="AM57"/>
  <c r="AR73"/>
  <c r="AU85" i="10"/>
  <c r="AX85"/>
  <c r="C37" i="12"/>
  <c r="BA81" i="9" l="1"/>
  <c r="BD81"/>
  <c r="AS89" i="11"/>
  <c r="AV89"/>
  <c r="AP59" i="12"/>
  <c r="AO61" s="1"/>
  <c r="AN64"/>
  <c r="D54"/>
  <c r="AP50"/>
  <c r="AP51" s="1"/>
  <c r="AN50"/>
  <c r="AN51" s="1"/>
  <c r="AQ50"/>
  <c r="AQ51" s="1"/>
  <c r="AR37"/>
  <c r="AS37"/>
  <c r="AS50"/>
  <c r="AS51" s="1"/>
  <c r="AR50"/>
  <c r="AR51" s="1"/>
  <c r="AS41"/>
  <c r="AO50"/>
  <c r="AO51" s="1"/>
  <c r="AP84"/>
  <c r="AN41"/>
  <c r="E37"/>
  <c r="AO114" s="1"/>
  <c r="BC110"/>
  <c r="BD105"/>
  <c r="AO109"/>
  <c r="AQ104"/>
  <c r="BD110"/>
  <c r="AV84" i="11"/>
  <c r="AS84"/>
  <c r="AW84" i="9" l="1"/>
  <c r="AT84"/>
  <c r="AO105" i="12"/>
  <c r="AU83"/>
  <c r="AV83" s="1"/>
  <c r="AS93"/>
  <c r="AS95" s="1"/>
  <c r="AN93"/>
  <c r="AT88"/>
  <c r="AS88" s="1"/>
  <c r="AN66"/>
  <c r="D50"/>
  <c r="AP85"/>
  <c r="AS40"/>
  <c r="AS38"/>
  <c r="AR40"/>
  <c r="AP77"/>
  <c r="AP78" s="1"/>
  <c r="AN77"/>
  <c r="AN78" s="1"/>
  <c r="AS68"/>
  <c r="AQ84"/>
  <c r="AO77"/>
  <c r="AO78" s="1"/>
  <c r="AS64"/>
  <c r="AS77"/>
  <c r="AS78" s="1"/>
  <c r="AR64"/>
  <c r="AQ77"/>
  <c r="AQ78" s="1"/>
  <c r="AR77"/>
  <c r="AR78" s="1"/>
  <c r="AN94" l="1"/>
  <c r="AS94"/>
  <c r="AU84"/>
  <c r="AT89"/>
  <c r="AN95"/>
  <c r="AN91"/>
  <c r="R39" s="1"/>
  <c r="AU88"/>
  <c r="AV88" s="1"/>
  <c r="AQ93"/>
  <c r="AP105"/>
  <c r="AT93"/>
  <c r="AN68"/>
  <c r="F54"/>
  <c r="AP114" s="1"/>
  <c r="AS109"/>
  <c r="BA104"/>
  <c r="BB104"/>
  <c r="BB109"/>
  <c r="AT103"/>
  <c r="AR103" s="1"/>
  <c r="AQ95" l="1"/>
  <c r="AQ91"/>
  <c r="N38" s="1"/>
  <c r="AQ85"/>
  <c r="AS65"/>
  <c r="AS67"/>
  <c r="AR67"/>
  <c r="AZ81"/>
  <c r="BC81"/>
  <c r="AT95"/>
  <c r="AT91"/>
  <c r="P38" s="1"/>
  <c r="AQ105"/>
  <c r="BC104"/>
  <c r="AS103"/>
  <c r="AQ103" s="1"/>
  <c r="AO108"/>
  <c r="BD109"/>
  <c r="BD104"/>
  <c r="AP108"/>
  <c r="AY109" s="1"/>
  <c r="AU89" l="1"/>
  <c r="AT94"/>
  <c r="AQ94"/>
  <c r="R38"/>
  <c r="AS84"/>
  <c r="AV84"/>
  <c r="AT106"/>
  <c r="AW106"/>
  <c r="AP109" l="1"/>
  <c r="AM109"/>
  <c r="AZ86"/>
  <c r="BC86"/>
  <c r="AV89" l="1"/>
  <c r="AS89"/>
</calcChain>
</file>

<file path=xl/sharedStrings.xml><?xml version="1.0" encoding="utf-8"?>
<sst xmlns="http://schemas.openxmlformats.org/spreadsheetml/2006/main" count="1763" uniqueCount="519">
  <si>
    <t>MICROECONOMIC MODELS   MMikroWZUW 1.0 ®     Zalega-Szałański © </t>
  </si>
  <si>
    <t>Project and making of the programme: M.Szałański, Faculty of Management, University of Warsaw</t>
  </si>
  <si>
    <t>Worksheet 1</t>
  </si>
  <si>
    <t>DEMAND AND SUPPLY FUNCTIONS</t>
  </si>
  <si>
    <t>Idea and substantive wardship: T.Zalega, Faculty of Management, University of Warsaw</t>
  </si>
  <si>
    <t>ATTENTION: insert data into white spaces only</t>
  </si>
  <si>
    <t>Frame 1</t>
  </si>
  <si>
    <t>? help</t>
  </si>
  <si>
    <t>Frame 2</t>
  </si>
  <si>
    <t>Demand function</t>
  </si>
  <si>
    <t>Supply function</t>
  </si>
  <si>
    <t>Demand function</t>
  </si>
  <si>
    <t>? pomoc</t>
  </si>
  <si>
    <t>price P</t>
  </si>
  <si>
    <r>
      <t>t</t>
    </r>
    <r>
      <rPr>
        <vertAlign val="subscript"/>
        <sz val="10"/>
        <rFont val="Arial"/>
        <family val="2"/>
        <charset val="238"/>
      </rPr>
      <t>1</t>
    </r>
  </si>
  <si>
    <r>
      <t>t</t>
    </r>
    <r>
      <rPr>
        <vertAlign val="subscript"/>
        <sz val="10"/>
        <rFont val="Arial"/>
        <family val="2"/>
        <charset val="238"/>
      </rPr>
      <t>2</t>
    </r>
  </si>
  <si>
    <t>amount</t>
  </si>
  <si>
    <t>demand Qd</t>
  </si>
  <si>
    <t>supply</t>
  </si>
  <si>
    <t>supply Qs</t>
  </si>
  <si>
    <t>D1:</t>
  </si>
  <si>
    <r>
      <t>Q</t>
    </r>
    <r>
      <rPr>
        <vertAlign val="subscript"/>
        <sz val="10"/>
        <rFont val="Arial"/>
        <family val="2"/>
        <charset val="238"/>
      </rPr>
      <t>D1</t>
    </r>
    <r>
      <rPr>
        <sz val="10"/>
        <rFont val="Arial"/>
        <family val="2"/>
        <charset val="238"/>
      </rPr>
      <t>=</t>
    </r>
  </si>
  <si>
    <t xml:space="preserve"> +/-</t>
  </si>
  <si>
    <t>P</t>
  </si>
  <si>
    <t>S1:</t>
  </si>
  <si>
    <r>
      <t>Q</t>
    </r>
    <r>
      <rPr>
        <vertAlign val="subscript"/>
        <sz val="10"/>
        <rFont val="Arial"/>
        <family val="2"/>
        <charset val="238"/>
      </rPr>
      <t>s1</t>
    </r>
    <r>
      <rPr>
        <sz val="10"/>
        <rFont val="Arial"/>
        <family val="2"/>
        <charset val="238"/>
      </rPr>
      <t>=</t>
    </r>
  </si>
  <si>
    <t>D2:</t>
  </si>
  <si>
    <r>
      <t>Q</t>
    </r>
    <r>
      <rPr>
        <vertAlign val="subscript"/>
        <sz val="10"/>
        <rFont val="Arial"/>
        <family val="2"/>
        <charset val="238"/>
      </rPr>
      <t>D2</t>
    </r>
    <r>
      <rPr>
        <sz val="10"/>
        <rFont val="Arial"/>
        <family val="2"/>
        <charset val="238"/>
      </rPr>
      <t>=</t>
    </r>
  </si>
  <si>
    <t>S2:</t>
  </si>
  <si>
    <r>
      <t>Q</t>
    </r>
    <r>
      <rPr>
        <vertAlign val="subscript"/>
        <sz val="10"/>
        <rFont val="Arial"/>
        <family val="2"/>
        <charset val="238"/>
      </rPr>
      <t>s2</t>
    </r>
    <r>
      <rPr>
        <sz val="10"/>
        <rFont val="Arial"/>
        <family val="2"/>
        <charset val="238"/>
      </rPr>
      <t>=</t>
    </r>
  </si>
  <si>
    <t>demand</t>
  </si>
  <si>
    <t>D1</t>
  </si>
  <si>
    <t>D2</t>
  </si>
  <si>
    <t>Authors thank for the numerous</t>
  </si>
  <si>
    <t>S1</t>
  </si>
  <si>
    <t>Pe =</t>
  </si>
  <si>
    <t>comments to the programme</t>
  </si>
  <si>
    <t>Qe =</t>
  </si>
  <si>
    <t>Faculty of Management students:</t>
  </si>
  <si>
    <t>S2</t>
  </si>
  <si>
    <t xml:space="preserve"> Piotr Barski, Karol Ociepa, Anna Ples</t>
  </si>
  <si>
    <t>MICROECONOMIC MODELS   MMikroWZUW 1.0 ®     Zalega-Szałański © </t>
  </si>
  <si>
    <t>Worksheet 2 FunctionDemSup - calculation points of intersection for demand and supply functions</t>
  </si>
  <si>
    <t>Idea and substantive wardship: T.Zalega, Faculty of Management, University of Warsaw</t>
  </si>
  <si>
    <t>Frame 1A</t>
  </si>
  <si>
    <t>FPOP</t>
  </si>
  <si>
    <t>Demand function  D1</t>
  </si>
  <si>
    <t>Supply function S</t>
  </si>
  <si>
    <t>Qd</t>
  </si>
  <si>
    <r>
      <t>Q</t>
    </r>
    <r>
      <rPr>
        <vertAlign val="sub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>=</t>
    </r>
  </si>
  <si>
    <t>P^2</t>
  </si>
  <si>
    <r>
      <t>Q</t>
    </r>
    <r>
      <rPr>
        <vertAlign val="subscript"/>
        <sz val="10"/>
        <rFont val="Arial"/>
        <family val="2"/>
        <charset val="238"/>
      </rPr>
      <t>S</t>
    </r>
    <r>
      <rPr>
        <sz val="10"/>
        <rFont val="Arial"/>
        <family val="2"/>
        <charset val="238"/>
      </rPr>
      <t>=</t>
    </r>
  </si>
  <si>
    <t>help ?</t>
  </si>
  <si>
    <r>
      <t>D</t>
    </r>
    <r>
      <rPr>
        <vertAlign val="sub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 xml:space="preserve">  Q</t>
    </r>
    <r>
      <rPr>
        <vertAlign val="subscript"/>
        <sz val="10"/>
        <rFont val="Arial"/>
        <family val="2"/>
        <charset val="238"/>
      </rPr>
      <t>D1</t>
    </r>
    <r>
      <rPr>
        <sz val="10"/>
        <rFont val="Arial"/>
        <family val="2"/>
        <charset val="238"/>
      </rPr>
      <t>=</t>
    </r>
  </si>
  <si>
    <r>
      <t>S</t>
    </r>
    <r>
      <rPr>
        <vertAlign val="subscript"/>
        <sz val="10"/>
        <rFont val="Arial"/>
        <family val="2"/>
        <charset val="238"/>
      </rPr>
      <t xml:space="preserve">1  </t>
    </r>
    <r>
      <rPr>
        <sz val="10"/>
        <rFont val="Arial"/>
        <family val="2"/>
        <charset val="238"/>
      </rPr>
      <t xml:space="preserve">  Q</t>
    </r>
    <r>
      <rPr>
        <vertAlign val="subscript"/>
        <sz val="10"/>
        <rFont val="Arial"/>
        <family val="2"/>
        <charset val="238"/>
      </rPr>
      <t>S1</t>
    </r>
    <r>
      <rPr>
        <sz val="10"/>
        <rFont val="Arial"/>
        <family val="2"/>
        <charset val="238"/>
      </rPr>
      <t>=</t>
    </r>
  </si>
  <si>
    <t>FPOD</t>
  </si>
  <si>
    <t>Supply function S1</t>
  </si>
  <si>
    <t>equilibrium price</t>
  </si>
  <si>
    <r>
      <t>D</t>
    </r>
    <r>
      <rPr>
        <vertAlign val="sub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 xml:space="preserve">  Q</t>
    </r>
    <r>
      <rPr>
        <vertAlign val="subscript"/>
        <sz val="10"/>
        <rFont val="Arial"/>
        <family val="2"/>
        <charset val="238"/>
      </rPr>
      <t>D2</t>
    </r>
    <r>
      <rPr>
        <sz val="10"/>
        <rFont val="Arial"/>
        <family val="2"/>
        <charset val="238"/>
      </rPr>
      <t>=</t>
    </r>
  </si>
  <si>
    <r>
      <t>S</t>
    </r>
    <r>
      <rPr>
        <vertAlign val="sub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 xml:space="preserve">   Q</t>
    </r>
    <r>
      <rPr>
        <vertAlign val="subscript"/>
        <sz val="10"/>
        <rFont val="Arial"/>
        <family val="2"/>
        <charset val="238"/>
      </rPr>
      <t>S2</t>
    </r>
    <r>
      <rPr>
        <sz val="10"/>
        <rFont val="Arial"/>
        <family val="2"/>
        <charset val="238"/>
      </rPr>
      <t>=</t>
    </r>
  </si>
  <si>
    <r>
      <t>P</t>
    </r>
    <r>
      <rPr>
        <b/>
        <vertAlign val="subscript"/>
        <sz val="10"/>
        <rFont val="Arial"/>
        <family val="2"/>
        <charset val="238"/>
      </rPr>
      <t>e</t>
    </r>
    <r>
      <rPr>
        <b/>
        <sz val="10"/>
        <rFont val="Arial"/>
        <family val="2"/>
        <charset val="238"/>
      </rPr>
      <t>=</t>
    </r>
  </si>
  <si>
    <r>
      <t>Q</t>
    </r>
    <r>
      <rPr>
        <b/>
        <vertAlign val="subscript"/>
        <sz val="10"/>
        <rFont val="Arial"/>
        <family val="2"/>
        <charset val="238"/>
      </rPr>
      <t>e</t>
    </r>
    <r>
      <rPr>
        <b/>
        <sz val="10"/>
        <rFont val="Arial"/>
        <family val="2"/>
        <charset val="238"/>
      </rPr>
      <t>=</t>
    </r>
  </si>
  <si>
    <t>Qs</t>
  </si>
  <si>
    <t>Set price</t>
  </si>
  <si>
    <t>P=</t>
  </si>
  <si>
    <r>
      <t>Q</t>
    </r>
    <r>
      <rPr>
        <b/>
        <vertAlign val="subscript"/>
        <sz val="12"/>
        <rFont val="Arial"/>
        <family val="2"/>
        <charset val="238"/>
      </rPr>
      <t>D</t>
    </r>
    <r>
      <rPr>
        <b/>
        <sz val="12"/>
        <rFont val="Arial"/>
        <family val="2"/>
        <charset val="238"/>
      </rPr>
      <t>=</t>
    </r>
  </si>
  <si>
    <r>
      <t>Q</t>
    </r>
    <r>
      <rPr>
        <b/>
        <vertAlign val="subscript"/>
        <sz val="12"/>
        <rFont val="Arial"/>
        <family val="2"/>
        <charset val="238"/>
      </rPr>
      <t>S</t>
    </r>
    <r>
      <rPr>
        <b/>
        <sz val="12"/>
        <rFont val="Arial"/>
        <family val="2"/>
        <charset val="238"/>
      </rPr>
      <t>=</t>
    </r>
  </si>
  <si>
    <t>line 1</t>
  </si>
  <si>
    <t>equilibrium prica</t>
  </si>
  <si>
    <t>proposition - isn't counted</t>
  </si>
  <si>
    <t>Surplus/Shortage</t>
  </si>
  <si>
    <r>
      <t>Q</t>
    </r>
    <r>
      <rPr>
        <vertAlign val="subscript"/>
        <sz val="10"/>
        <rFont val="Arial"/>
        <family val="2"/>
        <charset val="238"/>
      </rPr>
      <t>S</t>
    </r>
  </si>
  <si>
    <t xml:space="preserve"> -   QD  =</t>
  </si>
  <si>
    <r>
      <t>P</t>
    </r>
    <r>
      <rPr>
        <b/>
        <vertAlign val="subscript"/>
        <sz val="12"/>
        <rFont val="Arial"/>
        <family val="2"/>
        <charset val="238"/>
      </rPr>
      <t>e1</t>
    </r>
    <r>
      <rPr>
        <b/>
        <sz val="12"/>
        <rFont val="Arial"/>
        <family val="2"/>
        <charset val="238"/>
      </rPr>
      <t>=</t>
    </r>
  </si>
  <si>
    <r>
      <t>P</t>
    </r>
    <r>
      <rPr>
        <b/>
        <vertAlign val="subscript"/>
        <sz val="12"/>
        <rFont val="Arial"/>
        <family val="2"/>
        <charset val="238"/>
      </rPr>
      <t>e3</t>
    </r>
    <r>
      <rPr>
        <b/>
        <sz val="12"/>
        <rFont val="Arial"/>
        <family val="2"/>
        <charset val="238"/>
      </rPr>
      <t>=</t>
    </r>
  </si>
  <si>
    <r>
      <t>∆P</t>
    </r>
    <r>
      <rPr>
        <vertAlign val="subscript"/>
        <sz val="10"/>
        <rFont val="Arial"/>
        <family val="2"/>
        <charset val="238"/>
      </rPr>
      <t>31</t>
    </r>
    <r>
      <rPr>
        <sz val="10"/>
        <rFont val="Arial"/>
        <family val="2"/>
        <charset val="238"/>
      </rPr>
      <t>=</t>
    </r>
  </si>
  <si>
    <t>line 2</t>
  </si>
  <si>
    <t>set price</t>
  </si>
  <si>
    <r>
      <t>Q</t>
    </r>
    <r>
      <rPr>
        <b/>
        <vertAlign val="subscript"/>
        <sz val="12"/>
        <rFont val="Arial"/>
        <family val="2"/>
        <charset val="238"/>
      </rPr>
      <t>e1</t>
    </r>
    <r>
      <rPr>
        <b/>
        <sz val="12"/>
        <rFont val="Arial"/>
        <family val="2"/>
        <charset val="238"/>
      </rPr>
      <t>=</t>
    </r>
  </si>
  <si>
    <r>
      <t>Q</t>
    </r>
    <r>
      <rPr>
        <b/>
        <vertAlign val="subscript"/>
        <sz val="12"/>
        <rFont val="Arial"/>
        <family val="2"/>
        <charset val="238"/>
      </rPr>
      <t>e3</t>
    </r>
    <r>
      <rPr>
        <b/>
        <sz val="12"/>
        <rFont val="Arial"/>
        <family val="2"/>
        <charset val="238"/>
      </rPr>
      <t>=</t>
    </r>
  </si>
  <si>
    <r>
      <t>∆Q</t>
    </r>
    <r>
      <rPr>
        <vertAlign val="subscript"/>
        <sz val="10"/>
        <rFont val="Arial"/>
        <family val="2"/>
        <charset val="238"/>
      </rPr>
      <t>31</t>
    </r>
    <r>
      <rPr>
        <sz val="10"/>
        <rFont val="Arial"/>
        <family val="2"/>
        <charset val="238"/>
      </rPr>
      <t>=</t>
    </r>
  </si>
  <si>
    <r>
      <t>P</t>
    </r>
    <r>
      <rPr>
        <b/>
        <vertAlign val="subscript"/>
        <sz val="12"/>
        <rFont val="Arial"/>
        <family val="2"/>
        <charset val="238"/>
      </rPr>
      <t>e2</t>
    </r>
    <r>
      <rPr>
        <b/>
        <sz val="12"/>
        <rFont val="Arial"/>
        <family val="2"/>
        <charset val="238"/>
      </rPr>
      <t>=</t>
    </r>
  </si>
  <si>
    <r>
      <t>P</t>
    </r>
    <r>
      <rPr>
        <b/>
        <vertAlign val="subscript"/>
        <sz val="12"/>
        <rFont val="Arial"/>
        <family val="2"/>
        <charset val="238"/>
      </rPr>
      <t>e4</t>
    </r>
    <r>
      <rPr>
        <b/>
        <sz val="12"/>
        <rFont val="Arial"/>
        <family val="2"/>
        <charset val="238"/>
      </rPr>
      <t>=</t>
    </r>
  </si>
  <si>
    <r>
      <t>∆P</t>
    </r>
    <r>
      <rPr>
        <vertAlign val="subscript"/>
        <sz val="10"/>
        <rFont val="Arial"/>
        <family val="2"/>
        <charset val="238"/>
      </rPr>
      <t>24</t>
    </r>
    <r>
      <rPr>
        <sz val="10"/>
        <rFont val="Arial"/>
        <family val="2"/>
        <charset val="238"/>
      </rPr>
      <t>=</t>
    </r>
  </si>
  <si>
    <r>
      <t>Q</t>
    </r>
    <r>
      <rPr>
        <b/>
        <vertAlign val="subscript"/>
        <sz val="12"/>
        <rFont val="Arial"/>
        <family val="2"/>
        <charset val="238"/>
      </rPr>
      <t>e2</t>
    </r>
    <r>
      <rPr>
        <b/>
        <sz val="12"/>
        <rFont val="Arial"/>
        <family val="2"/>
        <charset val="238"/>
      </rPr>
      <t>=</t>
    </r>
  </si>
  <si>
    <r>
      <t>Q</t>
    </r>
    <r>
      <rPr>
        <b/>
        <vertAlign val="subscript"/>
        <sz val="12"/>
        <rFont val="Arial"/>
        <family val="2"/>
        <charset val="238"/>
      </rPr>
      <t>e4</t>
    </r>
    <r>
      <rPr>
        <b/>
        <sz val="12"/>
        <rFont val="Arial"/>
        <family val="2"/>
        <charset val="238"/>
      </rPr>
      <t>=</t>
    </r>
  </si>
  <si>
    <r>
      <t>∆Q</t>
    </r>
    <r>
      <rPr>
        <vertAlign val="subscript"/>
        <sz val="10"/>
        <rFont val="Arial"/>
        <family val="2"/>
        <charset val="238"/>
      </rPr>
      <t>24</t>
    </r>
    <r>
      <rPr>
        <sz val="10"/>
        <rFont val="Arial"/>
        <family val="2"/>
        <charset val="238"/>
      </rPr>
      <t>=</t>
    </r>
  </si>
  <si>
    <t>point A</t>
  </si>
  <si>
    <t>point B</t>
  </si>
  <si>
    <r>
      <t>∆P</t>
    </r>
    <r>
      <rPr>
        <vertAlign val="subscript"/>
        <sz val="10"/>
        <rFont val="Arial"/>
        <family val="2"/>
        <charset val="238"/>
      </rPr>
      <t>23</t>
    </r>
    <r>
      <rPr>
        <sz val="10"/>
        <rFont val="Arial"/>
        <family val="2"/>
        <charset val="238"/>
      </rPr>
      <t>=</t>
    </r>
  </si>
  <si>
    <r>
      <t>∆P</t>
    </r>
    <r>
      <rPr>
        <vertAlign val="subscript"/>
        <sz val="10"/>
        <rFont val="Arial"/>
        <family val="2"/>
        <charset val="238"/>
      </rPr>
      <t>12</t>
    </r>
    <r>
      <rPr>
        <sz val="10"/>
        <rFont val="Arial"/>
        <family val="2"/>
        <charset val="238"/>
      </rPr>
      <t>=</t>
    </r>
  </si>
  <si>
    <r>
      <t>∆P</t>
    </r>
    <r>
      <rPr>
        <vertAlign val="subscript"/>
        <sz val="10"/>
        <rFont val="Arial"/>
        <family val="2"/>
        <charset val="238"/>
      </rPr>
      <t>34</t>
    </r>
    <r>
      <rPr>
        <sz val="10"/>
        <rFont val="Arial"/>
        <family val="2"/>
        <charset val="238"/>
      </rPr>
      <t>=</t>
    </r>
  </si>
  <si>
    <r>
      <t>∆P</t>
    </r>
    <r>
      <rPr>
        <vertAlign val="subscript"/>
        <sz val="10"/>
        <rFont val="Arial"/>
        <family val="2"/>
        <charset val="238"/>
      </rPr>
      <t>14</t>
    </r>
    <r>
      <rPr>
        <sz val="10"/>
        <rFont val="Arial"/>
        <family val="2"/>
        <charset val="238"/>
      </rPr>
      <t>=</t>
    </r>
  </si>
  <si>
    <r>
      <t>∆Q</t>
    </r>
    <r>
      <rPr>
        <vertAlign val="subscript"/>
        <sz val="10"/>
        <rFont val="Arial"/>
        <family val="2"/>
        <charset val="238"/>
      </rPr>
      <t>23</t>
    </r>
    <r>
      <rPr>
        <sz val="10"/>
        <rFont val="Arial"/>
        <family val="2"/>
        <charset val="238"/>
      </rPr>
      <t>=</t>
    </r>
  </si>
  <si>
    <r>
      <t>∆Q</t>
    </r>
    <r>
      <rPr>
        <vertAlign val="subscript"/>
        <sz val="10"/>
        <rFont val="Arial"/>
        <family val="2"/>
        <charset val="238"/>
      </rPr>
      <t>12</t>
    </r>
    <r>
      <rPr>
        <sz val="10"/>
        <rFont val="Arial"/>
        <family val="2"/>
        <charset val="238"/>
      </rPr>
      <t>=</t>
    </r>
  </si>
  <si>
    <r>
      <t>∆Q</t>
    </r>
    <r>
      <rPr>
        <vertAlign val="subscript"/>
        <sz val="10"/>
        <rFont val="Arial"/>
        <family val="2"/>
        <charset val="238"/>
      </rPr>
      <t>34</t>
    </r>
    <r>
      <rPr>
        <sz val="10"/>
        <rFont val="Arial"/>
        <family val="2"/>
        <charset val="238"/>
      </rPr>
      <t>=</t>
    </r>
  </si>
  <si>
    <r>
      <t>∆Q</t>
    </r>
    <r>
      <rPr>
        <vertAlign val="subscript"/>
        <sz val="10"/>
        <rFont val="Arial"/>
        <family val="2"/>
        <charset val="238"/>
      </rPr>
      <t>14</t>
    </r>
    <r>
      <rPr>
        <sz val="10"/>
        <rFont val="Arial"/>
        <family val="2"/>
        <charset val="238"/>
      </rPr>
      <t>=</t>
    </r>
  </si>
  <si>
    <t>FDEM D1/S1</t>
  </si>
  <si>
    <r>
      <t>P</t>
    </r>
    <r>
      <rPr>
        <vertAlign val="subscript"/>
        <sz val="10"/>
        <rFont val="Arial"/>
        <family val="2"/>
        <charset val="238"/>
      </rPr>
      <t>e1</t>
    </r>
    <r>
      <rPr>
        <sz val="10"/>
        <rFont val="Arial"/>
        <family val="2"/>
        <charset val="238"/>
      </rPr>
      <t>=</t>
    </r>
  </si>
  <si>
    <t>Examples of microeconomics simulations</t>
  </si>
  <si>
    <t>with using of the programme MMIkroWZUW</t>
  </si>
  <si>
    <t>FDEM D1/S2</t>
  </si>
  <si>
    <t>Q=</t>
  </si>
  <si>
    <t>you can find in book:</t>
  </si>
  <si>
    <t>∆D1D2=</t>
  </si>
  <si>
    <t>∆D1S2=</t>
  </si>
  <si>
    <t>M.Szałański, T.Zalega Symulacyjne modele mikroekonomiczne</t>
  </si>
  <si>
    <t>W.Naukowe W.Zarządzania UW , 2015</t>
  </si>
  <si>
    <t>FSUP S2/D1</t>
  </si>
  <si>
    <t>Notice:</t>
  </si>
  <si>
    <t>Minus values of Q was allowed in case of extending clarity of a figure.</t>
  </si>
  <si>
    <t>FSUP S2/D2</t>
  </si>
  <si>
    <t> MICROECONOMIC MODELS  MMikroWZUW 1.0 ®     Zalega-Szałański © </t>
  </si>
  <si>
    <t>Worksheet 3CobWebmodel - calculation of cobweb model</t>
  </si>
  <si>
    <r>
      <t>P</t>
    </r>
    <r>
      <rPr>
        <b/>
        <vertAlign val="subscript"/>
        <sz val="10"/>
        <rFont val="Arial"/>
        <family val="2"/>
        <charset val="238"/>
      </rPr>
      <t xml:space="preserve">e </t>
    </r>
    <r>
      <rPr>
        <b/>
        <sz val="10"/>
        <rFont val="Arial"/>
        <family val="2"/>
        <charset val="238"/>
      </rPr>
      <t>=</t>
    </r>
  </si>
  <si>
    <r>
      <t>Q</t>
    </r>
    <r>
      <rPr>
        <b/>
        <vertAlign val="subscript"/>
        <sz val="10"/>
        <rFont val="Arial"/>
        <family val="2"/>
        <charset val="238"/>
      </rPr>
      <t xml:space="preserve">e </t>
    </r>
    <r>
      <rPr>
        <b/>
        <sz val="10"/>
        <rFont val="Arial"/>
        <family val="2"/>
        <charset val="238"/>
      </rPr>
      <t>=</t>
    </r>
  </si>
  <si>
    <t>index of demand and supply gradient curve</t>
  </si>
  <si>
    <t>variation from equilibrium price p0  </t>
  </si>
  <si>
    <t xml:space="preserve">t = </t>
  </si>
  <si>
    <t>p =</t>
  </si>
  <si>
    <t>P =</t>
  </si>
  <si>
    <t>FDEM</t>
  </si>
  <si>
    <t>line 2</t>
  </si>
  <si>
    <t xml:space="preserve">Q = </t>
  </si>
  <si>
    <r>
      <t>cena P</t>
    </r>
    <r>
      <rPr>
        <vertAlign val="subscript"/>
        <sz val="10"/>
        <rFont val="Arial"/>
        <family val="2"/>
        <charset val="238"/>
      </rPr>
      <t>1</t>
    </r>
  </si>
  <si>
    <r>
      <t>cena P</t>
    </r>
    <r>
      <rPr>
        <vertAlign val="subscript"/>
        <sz val="10"/>
        <rFont val="Arial"/>
        <family val="2"/>
        <charset val="238"/>
      </rPr>
      <t>2</t>
    </r>
  </si>
  <si>
    <r>
      <t>Q</t>
    </r>
    <r>
      <rPr>
        <vertAlign val="subscript"/>
        <sz val="10"/>
        <rFont val="Arial"/>
        <family val="2"/>
        <charset val="238"/>
      </rPr>
      <t>D</t>
    </r>
    <r>
      <rPr>
        <sz val="10"/>
        <rFont val="Arial"/>
        <family val="2"/>
        <charset val="238"/>
      </rPr>
      <t xml:space="preserve"> =</t>
    </r>
  </si>
  <si>
    <r>
      <t>S1   Q</t>
    </r>
    <r>
      <rPr>
        <vertAlign val="subscript"/>
        <sz val="10"/>
        <rFont val="Arial"/>
        <family val="2"/>
        <charset val="238"/>
      </rPr>
      <t>S</t>
    </r>
    <r>
      <rPr>
        <sz val="10"/>
        <rFont val="Arial"/>
        <family val="2"/>
        <charset val="238"/>
      </rPr>
      <t>=</t>
    </r>
  </si>
  <si>
    <r>
      <t>S2   Q</t>
    </r>
    <r>
      <rPr>
        <vertAlign val="subscript"/>
        <sz val="10"/>
        <rFont val="Arial"/>
        <family val="2"/>
        <charset val="238"/>
      </rPr>
      <t>S</t>
    </r>
    <r>
      <rPr>
        <sz val="10"/>
        <rFont val="Arial"/>
        <family val="2"/>
        <charset val="238"/>
      </rPr>
      <t>=</t>
    </r>
  </si>
  <si>
    <t>D</t>
  </si>
  <si>
    <t>Epd</t>
  </si>
  <si>
    <r>
      <t>Q</t>
    </r>
    <r>
      <rPr>
        <vertAlign val="sub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>=</t>
    </r>
  </si>
  <si>
    <r>
      <t>Q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=</t>
    </r>
  </si>
  <si>
    <r>
      <t>TR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=</t>
    </r>
  </si>
  <si>
    <r>
      <t>TR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=</t>
    </r>
  </si>
  <si>
    <r>
      <rPr>
        <b/>
        <sz val="10"/>
        <rFont val="Czcionka tekstu podstawowego"/>
        <charset val="238"/>
      </rPr>
      <t>∆</t>
    </r>
    <r>
      <rPr>
        <b/>
        <sz val="10"/>
        <rFont val="Arial"/>
        <family val="2"/>
        <charset val="238"/>
      </rPr>
      <t>TR =</t>
    </r>
  </si>
  <si>
    <t>Rzędna E=1</t>
  </si>
  <si>
    <t>D =</t>
  </si>
  <si>
    <t>S =</t>
  </si>
  <si>
    <t>P  =</t>
  </si>
  <si>
    <r>
      <t>E</t>
    </r>
    <r>
      <rPr>
        <b/>
        <vertAlign val="subscript"/>
        <sz val="12"/>
        <rFont val="Arial"/>
        <family val="2"/>
        <charset val="238"/>
      </rPr>
      <t>ps</t>
    </r>
    <r>
      <rPr>
        <b/>
        <sz val="12"/>
        <rFont val="Arial"/>
        <family val="2"/>
        <charset val="238"/>
      </rPr>
      <t xml:space="preserve"> =</t>
    </r>
  </si>
  <si>
    <t>___</t>
  </si>
  <si>
    <r>
      <rPr>
        <b/>
        <sz val="12"/>
        <rFont val="Arial"/>
        <family val="2"/>
        <charset val="238"/>
      </rPr>
      <t>E</t>
    </r>
    <r>
      <rPr>
        <b/>
        <vertAlign val="subscript"/>
        <sz val="12"/>
        <rFont val="Arial"/>
        <family val="2"/>
        <charset val="238"/>
      </rPr>
      <t>pd</t>
    </r>
    <r>
      <rPr>
        <b/>
        <sz val="12"/>
        <rFont val="Arial"/>
        <family val="2"/>
        <charset val="238"/>
      </rPr>
      <t>=</t>
    </r>
  </si>
  <si>
    <t>?</t>
  </si>
  <si>
    <t>Q</t>
  </si>
  <si>
    <r>
      <t>E</t>
    </r>
    <r>
      <rPr>
        <b/>
        <vertAlign val="subscript"/>
        <sz val="12"/>
        <rFont val="Arial"/>
        <family val="2"/>
        <charset val="238"/>
      </rPr>
      <t>md</t>
    </r>
    <r>
      <rPr>
        <b/>
        <sz val="12"/>
        <rFont val="Arial"/>
        <family val="2"/>
        <charset val="238"/>
      </rPr>
      <t>=</t>
    </r>
  </si>
  <si>
    <t>FPOPA</t>
  </si>
  <si>
    <t>FPODA</t>
  </si>
  <si>
    <r>
      <t>E</t>
    </r>
    <r>
      <rPr>
        <b/>
        <vertAlign val="subscript"/>
        <sz val="12"/>
        <rFont val="Arial"/>
        <family val="2"/>
        <charset val="238"/>
      </rPr>
      <t>yd</t>
    </r>
    <r>
      <rPr>
        <b/>
        <sz val="12"/>
        <rFont val="Arial"/>
        <family val="2"/>
        <charset val="238"/>
      </rPr>
      <t>=</t>
    </r>
  </si>
  <si>
    <t>FPOPB</t>
  </si>
  <si>
    <t>FPODB</t>
  </si>
  <si>
    <r>
      <t xml:space="preserve"> ∆D/D=E</t>
    </r>
    <r>
      <rPr>
        <vertAlign val="subscript"/>
        <sz val="10"/>
        <rFont val="Arial"/>
        <family val="2"/>
        <charset val="238"/>
      </rPr>
      <t>ys</t>
    </r>
    <r>
      <rPr>
        <sz val="10"/>
        <rFont val="Arial"/>
        <family val="2"/>
        <charset val="238"/>
      </rPr>
      <t>(∆Px/Px) + E</t>
    </r>
    <r>
      <rPr>
        <vertAlign val="subscript"/>
        <sz val="10"/>
        <rFont val="Arial"/>
        <family val="2"/>
        <charset val="238"/>
      </rPr>
      <t>pd</t>
    </r>
    <r>
      <rPr>
        <sz val="10"/>
        <rFont val="Arial"/>
        <family val="2"/>
        <charset val="238"/>
      </rPr>
      <t>(∆Py/Py) =</t>
    </r>
  </si>
  <si>
    <t>TR</t>
  </si>
  <si>
    <t>AR</t>
  </si>
  <si>
    <t>MR</t>
  </si>
  <si>
    <t xml:space="preserve">Q </t>
  </si>
  <si>
    <t>TR =</t>
  </si>
  <si>
    <t>P*Q = (</t>
  </si>
  <si>
    <t>Q ) * Q =</t>
  </si>
  <si>
    <t>=</t>
  </si>
  <si>
    <t xml:space="preserve">* Q </t>
  </si>
  <si>
    <t>Q^2</t>
  </si>
  <si>
    <r>
      <t>TR</t>
    </r>
    <r>
      <rPr>
        <b/>
        <vertAlign val="sub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>=</t>
    </r>
  </si>
  <si>
    <r>
      <t>TR</t>
    </r>
    <r>
      <rPr>
        <b/>
        <vertAlign val="sub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=</t>
    </r>
  </si>
  <si>
    <t>TR '=MR=</t>
  </si>
  <si>
    <t>Q =</t>
  </si>
  <si>
    <t>TR  (</t>
  </si>
  <si>
    <t>) =</t>
  </si>
  <si>
    <r>
      <t>E</t>
    </r>
    <r>
      <rPr>
        <b/>
        <vertAlign val="subscript"/>
        <sz val="10"/>
        <rFont val="Arial"/>
        <family val="2"/>
        <charset val="238"/>
      </rPr>
      <t>pd</t>
    </r>
    <r>
      <rPr>
        <b/>
        <sz val="10"/>
        <rFont val="Arial"/>
        <family val="2"/>
        <charset val="238"/>
      </rPr>
      <t>=</t>
    </r>
  </si>
  <si>
    <t>Arkusz 6 I-BL-UZ - obliczanie linii budżetowej BL, krzywej obojętności I oraz użyteczności UŻ</t>
  </si>
  <si>
    <t>x</t>
  </si>
  <si>
    <t>y</t>
  </si>
  <si>
    <t>x^2</t>
  </si>
  <si>
    <t>x*y</t>
  </si>
  <si>
    <t>1/x</t>
  </si>
  <si>
    <t>1/x^2</t>
  </si>
  <si>
    <t>1/x*y</t>
  </si>
  <si>
    <t>a</t>
  </si>
  <si>
    <t>X</t>
  </si>
  <si>
    <t>b</t>
  </si>
  <si>
    <t>Y</t>
  </si>
  <si>
    <t>c</t>
  </si>
  <si>
    <t>Z</t>
  </si>
  <si>
    <t>d</t>
  </si>
  <si>
    <t>e</t>
  </si>
  <si>
    <t>f</t>
  </si>
  <si>
    <t>g</t>
  </si>
  <si>
    <t>h</t>
  </si>
  <si>
    <t xml:space="preserve">Px= </t>
  </si>
  <si>
    <t xml:space="preserve">Py = </t>
  </si>
  <si>
    <t>M =</t>
  </si>
  <si>
    <t>i</t>
  </si>
  <si>
    <t>j</t>
  </si>
  <si>
    <t>k</t>
  </si>
  <si>
    <t>l</t>
  </si>
  <si>
    <t>Qx</t>
  </si>
  <si>
    <t>Qy</t>
  </si>
  <si>
    <r>
      <t xml:space="preserve"> P</t>
    </r>
    <r>
      <rPr>
        <vertAlign val="subscript"/>
        <sz val="10"/>
        <rFont val="Arial"/>
        <family val="2"/>
        <charset val="238"/>
      </rPr>
      <t xml:space="preserve">x </t>
    </r>
  </si>
  <si>
    <r>
      <t>P</t>
    </r>
    <r>
      <rPr>
        <vertAlign val="subscript"/>
        <sz val="10"/>
        <rFont val="Arial"/>
        <family val="2"/>
        <charset val="238"/>
      </rPr>
      <t xml:space="preserve">Y </t>
    </r>
  </si>
  <si>
    <t>M</t>
  </si>
  <si>
    <r>
      <t>* Q</t>
    </r>
    <r>
      <rPr>
        <b/>
        <vertAlign val="subscript"/>
        <sz val="10"/>
        <rFont val="Arial"/>
        <family val="2"/>
        <charset val="238"/>
      </rPr>
      <t>x</t>
    </r>
  </si>
  <si>
    <r>
      <t>* Q</t>
    </r>
    <r>
      <rPr>
        <b/>
        <vertAlign val="subscript"/>
        <sz val="10"/>
        <rFont val="Arial"/>
        <family val="2"/>
        <charset val="238"/>
      </rPr>
      <t>Y</t>
    </r>
  </si>
  <si>
    <t xml:space="preserve">Qx </t>
  </si>
  <si>
    <r>
      <t xml:space="preserve"> Q</t>
    </r>
    <r>
      <rPr>
        <b/>
        <vertAlign val="subscript"/>
        <sz val="10"/>
        <color indexed="9"/>
        <rFont val="Arial"/>
        <family val="2"/>
        <charset val="238"/>
      </rPr>
      <t>Y</t>
    </r>
    <r>
      <rPr>
        <b/>
        <sz val="10"/>
        <color indexed="9"/>
        <rFont val="Arial"/>
        <family val="2"/>
        <charset val="238"/>
      </rPr>
      <t>=</t>
    </r>
  </si>
  <si>
    <t xml:space="preserve">  +/-</t>
  </si>
  <si>
    <r>
      <t>Q</t>
    </r>
    <r>
      <rPr>
        <vertAlign val="subscript"/>
        <sz val="10"/>
        <color indexed="9"/>
        <rFont val="Arial"/>
        <family val="2"/>
        <charset val="238"/>
      </rPr>
      <t>x</t>
    </r>
  </si>
  <si>
    <t xml:space="preserve"> -Px/Py=</t>
  </si>
  <si>
    <r>
      <t>Q</t>
    </r>
    <r>
      <rPr>
        <b/>
        <vertAlign val="subscript"/>
        <sz val="11"/>
        <rFont val="Arial"/>
        <family val="2"/>
        <charset val="238"/>
      </rPr>
      <t xml:space="preserve">Y </t>
    </r>
    <r>
      <rPr>
        <b/>
        <sz val="11"/>
        <rFont val="Arial"/>
        <family val="2"/>
        <charset val="238"/>
      </rPr>
      <t>=</t>
    </r>
  </si>
  <si>
    <r>
      <t>Q</t>
    </r>
    <r>
      <rPr>
        <b/>
        <vertAlign val="subscript"/>
        <sz val="11"/>
        <rFont val="Arial"/>
        <family val="2"/>
        <charset val="238"/>
      </rPr>
      <t>x</t>
    </r>
  </si>
  <si>
    <t>Qx^2</t>
  </si>
  <si>
    <t>Qy^2</t>
  </si>
  <si>
    <t>Qx*Qy</t>
  </si>
  <si>
    <t>Qx*Px</t>
  </si>
  <si>
    <t>Qy*Py</t>
  </si>
  <si>
    <t>-</t>
  </si>
  <si>
    <t>MU(Qy)</t>
  </si>
  <si>
    <t xml:space="preserve">U(Qx) = </t>
  </si>
  <si>
    <t xml:space="preserve">U(Qy) = </t>
  </si>
  <si>
    <t>U(Qx)</t>
  </si>
  <si>
    <t>MU(Qx)</t>
  </si>
  <si>
    <t>U(Qy)</t>
  </si>
  <si>
    <r>
      <t xml:space="preserve"> Q</t>
    </r>
    <r>
      <rPr>
        <b/>
        <vertAlign val="subscript"/>
        <sz val="10"/>
        <rFont val="Arial"/>
        <family val="2"/>
        <charset val="238"/>
      </rPr>
      <t>Y</t>
    </r>
    <r>
      <rPr>
        <b/>
        <sz val="10"/>
        <rFont val="Arial"/>
        <family val="2"/>
        <charset val="238"/>
      </rPr>
      <t>=</t>
    </r>
  </si>
  <si>
    <r>
      <t>Q</t>
    </r>
    <r>
      <rPr>
        <vertAlign val="subscript"/>
        <sz val="10"/>
        <rFont val="Arial"/>
        <family val="2"/>
        <charset val="238"/>
      </rPr>
      <t>x</t>
    </r>
  </si>
  <si>
    <t>U(Qx)+U(Qy)</t>
  </si>
  <si>
    <t>funkcja z porównania obu krzywych1</t>
  </si>
  <si>
    <r>
      <t>Qx</t>
    </r>
    <r>
      <rPr>
        <vertAlign val="superscript"/>
        <sz val="10"/>
        <rFont val="Arial"/>
        <family val="2"/>
        <charset val="238"/>
      </rPr>
      <t xml:space="preserve">2   </t>
    </r>
    <r>
      <rPr>
        <sz val="10"/>
        <rFont val="Arial"/>
        <family val="2"/>
        <charset val="238"/>
      </rPr>
      <t>+/-</t>
    </r>
  </si>
  <si>
    <t xml:space="preserve"> Qx  +/-</t>
  </si>
  <si>
    <t>α  =  0</t>
  </si>
  <si>
    <r>
      <rPr>
        <sz val="10"/>
        <rFont val="Czcionka tekstu podstawowego"/>
        <charset val="238"/>
      </rPr>
      <t>∆</t>
    </r>
    <r>
      <rPr>
        <sz val="10"/>
        <rFont val="Arial"/>
        <family val="2"/>
        <charset val="238"/>
      </rPr>
      <t xml:space="preserve"> =</t>
    </r>
  </si>
  <si>
    <t xml:space="preserve"> +/--</t>
  </si>
  <si>
    <t>α = 0</t>
  </si>
  <si>
    <r>
      <t>* Q</t>
    </r>
    <r>
      <rPr>
        <vertAlign val="subscript"/>
        <sz val="10"/>
        <rFont val="Arial"/>
        <family val="2"/>
        <charset val="238"/>
      </rPr>
      <t>x</t>
    </r>
  </si>
  <si>
    <r>
      <t>* Q</t>
    </r>
    <r>
      <rPr>
        <vertAlign val="subscript"/>
        <sz val="10"/>
        <rFont val="Arial"/>
        <family val="2"/>
        <charset val="238"/>
      </rPr>
      <t>Y</t>
    </r>
  </si>
  <si>
    <t xml:space="preserve">α = </t>
  </si>
  <si>
    <t>Punkt styczności linii budżetowej i krzywej obojetności1</t>
  </si>
  <si>
    <r>
      <t xml:space="preserve"> Q</t>
    </r>
    <r>
      <rPr>
        <vertAlign val="subscript"/>
        <sz val="10"/>
        <rFont val="Arial"/>
        <family val="2"/>
        <charset val="238"/>
      </rPr>
      <t xml:space="preserve">x </t>
    </r>
    <r>
      <rPr>
        <sz val="10"/>
        <rFont val="Arial"/>
        <family val="2"/>
        <charset val="238"/>
      </rPr>
      <t>=</t>
    </r>
  </si>
  <si>
    <t>odcięta</t>
  </si>
  <si>
    <r>
      <t>Q</t>
    </r>
    <r>
      <rPr>
        <vertAlign val="subscript"/>
        <sz val="10"/>
        <rFont val="Arial"/>
        <family val="2"/>
        <charset val="238"/>
      </rPr>
      <t xml:space="preserve">Y </t>
    </r>
    <r>
      <rPr>
        <sz val="10"/>
        <rFont val="Arial"/>
        <family val="2"/>
        <charset val="238"/>
      </rPr>
      <t>=</t>
    </r>
  </si>
  <si>
    <t>α</t>
  </si>
  <si>
    <t>rzędna</t>
  </si>
  <si>
    <t>linia budżetowa 1</t>
  </si>
  <si>
    <r>
      <t xml:space="preserve"> Q</t>
    </r>
    <r>
      <rPr>
        <vertAlign val="subscript"/>
        <sz val="10"/>
        <rFont val="Arial"/>
        <family val="2"/>
        <charset val="238"/>
      </rPr>
      <t xml:space="preserve">x </t>
    </r>
  </si>
  <si>
    <r>
      <t>Q</t>
    </r>
    <r>
      <rPr>
        <vertAlign val="subscript"/>
        <sz val="10"/>
        <rFont val="Arial"/>
        <family val="2"/>
        <charset val="238"/>
      </rPr>
      <t xml:space="preserve">Y </t>
    </r>
  </si>
  <si>
    <t>Krzywa obojętnościi1</t>
  </si>
  <si>
    <t>funkcja z porównania obu krzywych2</t>
  </si>
  <si>
    <t>Punkt styczności linii budżetowej  i krzywej obojętności2</t>
  </si>
  <si>
    <t>linia budżetowaa2</t>
  </si>
  <si>
    <t>Krzywa obojetności2</t>
  </si>
  <si>
    <r>
      <t xml:space="preserve"> P</t>
    </r>
    <r>
      <rPr>
        <vertAlign val="subscript"/>
        <sz val="10"/>
        <rFont val="Arial"/>
        <family val="2"/>
        <charset val="238"/>
      </rPr>
      <t>x</t>
    </r>
  </si>
  <si>
    <r>
      <t xml:space="preserve"> Q</t>
    </r>
    <r>
      <rPr>
        <vertAlign val="subscript"/>
        <sz val="10"/>
        <rFont val="Arial"/>
        <family val="2"/>
        <charset val="238"/>
      </rPr>
      <t>x</t>
    </r>
  </si>
  <si>
    <r>
      <t>TU</t>
    </r>
    <r>
      <rPr>
        <vertAlign val="subscript"/>
        <sz val="10"/>
        <rFont val="Arial"/>
        <family val="2"/>
        <charset val="238"/>
      </rPr>
      <t>x</t>
    </r>
  </si>
  <si>
    <r>
      <t xml:space="preserve"> MU</t>
    </r>
    <r>
      <rPr>
        <vertAlign val="subscript"/>
        <sz val="10"/>
        <rFont val="Arial"/>
        <family val="2"/>
        <charset val="238"/>
      </rPr>
      <t>x</t>
    </r>
  </si>
  <si>
    <t xml:space="preserve"> Mux/ Px</t>
  </si>
  <si>
    <r>
      <t>MU</t>
    </r>
    <r>
      <rPr>
        <vertAlign val="subscript"/>
        <sz val="10"/>
        <rFont val="Arial"/>
        <family val="2"/>
        <charset val="238"/>
      </rPr>
      <t>x</t>
    </r>
  </si>
  <si>
    <r>
      <t xml:space="preserve"> P</t>
    </r>
    <r>
      <rPr>
        <vertAlign val="subscript"/>
        <sz val="10"/>
        <rFont val="Arial"/>
        <family val="2"/>
        <charset val="238"/>
      </rPr>
      <t>y</t>
    </r>
  </si>
  <si>
    <r>
      <t xml:space="preserve"> Q</t>
    </r>
    <r>
      <rPr>
        <vertAlign val="subscript"/>
        <sz val="10"/>
        <rFont val="Arial"/>
        <family val="2"/>
        <charset val="238"/>
      </rPr>
      <t>y</t>
    </r>
  </si>
  <si>
    <r>
      <t>TU</t>
    </r>
    <r>
      <rPr>
        <vertAlign val="subscript"/>
        <sz val="10"/>
        <rFont val="Arial"/>
        <family val="2"/>
        <charset val="238"/>
      </rPr>
      <t>y</t>
    </r>
  </si>
  <si>
    <r>
      <t>MU</t>
    </r>
    <r>
      <rPr>
        <vertAlign val="subscript"/>
        <sz val="10"/>
        <rFont val="Arial"/>
        <family val="2"/>
        <charset val="238"/>
      </rPr>
      <t>y</t>
    </r>
  </si>
  <si>
    <r>
      <t xml:space="preserve"> P</t>
    </r>
    <r>
      <rPr>
        <vertAlign val="subscript"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>/ P</t>
    </r>
    <r>
      <rPr>
        <vertAlign val="subscript"/>
        <sz val="10"/>
        <rFont val="Arial"/>
        <family val="2"/>
        <charset val="238"/>
      </rPr>
      <t xml:space="preserve">y </t>
    </r>
    <r>
      <rPr>
        <sz val="10"/>
        <rFont val="Arial"/>
        <family val="2"/>
        <charset val="238"/>
      </rPr>
      <t>=</t>
    </r>
  </si>
  <si>
    <r>
      <t xml:space="preserve"> MU</t>
    </r>
    <r>
      <rPr>
        <vertAlign val="subscript"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>/ P</t>
    </r>
    <r>
      <rPr>
        <vertAlign val="subscript"/>
        <sz val="10"/>
        <rFont val="Arial"/>
        <family val="2"/>
        <charset val="238"/>
      </rPr>
      <t xml:space="preserve">x </t>
    </r>
    <r>
      <rPr>
        <sz val="10"/>
        <rFont val="Arial"/>
        <family val="2"/>
        <charset val="238"/>
      </rPr>
      <t>=</t>
    </r>
  </si>
  <si>
    <r>
      <t xml:space="preserve"> MU</t>
    </r>
    <r>
      <rPr>
        <vertAlign val="subscript"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>/MU</t>
    </r>
    <r>
      <rPr>
        <vertAlign val="subscript"/>
        <sz val="10"/>
        <rFont val="Arial"/>
        <family val="2"/>
        <charset val="238"/>
      </rPr>
      <t xml:space="preserve">y </t>
    </r>
    <r>
      <rPr>
        <sz val="10"/>
        <rFont val="Arial"/>
        <family val="2"/>
        <charset val="238"/>
      </rPr>
      <t>=</t>
    </r>
  </si>
  <si>
    <r>
      <t xml:space="preserve"> MU</t>
    </r>
    <r>
      <rPr>
        <vertAlign val="subscript"/>
        <sz val="10"/>
        <rFont val="Arial"/>
        <family val="2"/>
        <charset val="238"/>
      </rPr>
      <t>y</t>
    </r>
    <r>
      <rPr>
        <sz val="10"/>
        <rFont val="Arial"/>
        <family val="2"/>
        <charset val="238"/>
      </rPr>
      <t>/ P</t>
    </r>
    <r>
      <rPr>
        <vertAlign val="subscript"/>
        <sz val="10"/>
        <rFont val="Arial"/>
        <family val="2"/>
        <charset val="238"/>
      </rPr>
      <t xml:space="preserve">y </t>
    </r>
    <r>
      <rPr>
        <sz val="10"/>
        <rFont val="Arial"/>
        <family val="2"/>
        <charset val="238"/>
      </rPr>
      <t>=</t>
    </r>
  </si>
  <si>
    <r>
      <t>MRS</t>
    </r>
    <r>
      <rPr>
        <vertAlign val="subscript"/>
        <sz val="10"/>
        <rFont val="Arial"/>
        <family val="2"/>
        <charset val="238"/>
      </rPr>
      <t>xy</t>
    </r>
    <r>
      <rPr>
        <sz val="10"/>
        <rFont val="Arial"/>
        <family val="2"/>
        <charset val="238"/>
      </rPr>
      <t xml:space="preserve"> =</t>
    </r>
  </si>
  <si>
    <t>funkcja z porównania obu krzywych3</t>
  </si>
  <si>
    <t>Punkt styczności linii budżetowej  i krzywej obojętności3</t>
  </si>
  <si>
    <t>linia budżetowaa3</t>
  </si>
  <si>
    <t>Krzywa obojetności3</t>
  </si>
  <si>
    <t>Krzywa ICC</t>
  </si>
  <si>
    <t>Równanie prostej</t>
  </si>
  <si>
    <t>y=</t>
  </si>
  <si>
    <t>optymalne punkty konsumenta</t>
  </si>
  <si>
    <t>1*0,4</t>
  </si>
  <si>
    <t>2*1,6</t>
  </si>
  <si>
    <t>3*1.2</t>
  </si>
  <si>
    <t>Krzywa Engla dobro X</t>
  </si>
  <si>
    <t>Krzywa Engla dobro Y</t>
  </si>
  <si>
    <r>
      <t xml:space="preserve"> Qy</t>
    </r>
    <r>
      <rPr>
        <vertAlign val="subscript"/>
        <sz val="10"/>
        <rFont val="Arial"/>
        <family val="2"/>
        <charset val="238"/>
      </rPr>
      <t xml:space="preserve"> </t>
    </r>
  </si>
  <si>
    <t>Krzywa popytu dobro X</t>
  </si>
  <si>
    <t>Px</t>
  </si>
  <si>
    <t>Krzywa popytu dobro Y</t>
  </si>
  <si>
    <t>Py</t>
  </si>
  <si>
    <t xml:space="preserve">se </t>
  </si>
  <si>
    <t>ie</t>
  </si>
  <si>
    <t>de =</t>
  </si>
  <si>
    <t>Krzywa PCC</t>
  </si>
  <si>
    <t>1*0,9</t>
  </si>
  <si>
    <t>2*1,2</t>
  </si>
  <si>
    <t>de</t>
  </si>
  <si>
    <t>se</t>
  </si>
  <si>
    <t>y0,1OK1</t>
  </si>
  <si>
    <t>y0,2OK1</t>
  </si>
  <si>
    <t>y0,25OK1</t>
  </si>
  <si>
    <t>pkt elastyczności</t>
  </si>
  <si>
    <t>elastyczność przedziałowa</t>
  </si>
  <si>
    <t>Równanie prostej-normalna</t>
  </si>
  <si>
    <t>Równanie prostej-podrzędne</t>
  </si>
  <si>
    <t>1*0,8</t>
  </si>
  <si>
    <t>punkt OK1</t>
  </si>
  <si>
    <t>LB2</t>
  </si>
  <si>
    <t>M1=M2</t>
  </si>
  <si>
    <r>
      <t xml:space="preserve"> *Q</t>
    </r>
    <r>
      <rPr>
        <vertAlign val="subscript"/>
        <sz val="10"/>
        <rFont val="Arial"/>
        <family val="2"/>
        <charset val="238"/>
      </rPr>
      <t xml:space="preserve">x </t>
    </r>
  </si>
  <si>
    <t xml:space="preserve"> Piotr Barski, Karol Ociepa,Anna Ples</t>
  </si>
  <si>
    <t>n</t>
  </si>
  <si>
    <t>p</t>
  </si>
  <si>
    <t>dobro normalne</t>
  </si>
  <si>
    <t>dobro podrzędne</t>
  </si>
  <si>
    <t>FPOP D1/S1</t>
  </si>
  <si>
    <t>popyt nie wychodzi poza wykres dla -(b/a)</t>
  </si>
  <si>
    <r>
      <t>D</t>
    </r>
    <r>
      <rPr>
        <b/>
        <vertAlign val="subscript"/>
        <sz val="10"/>
        <rFont val="Arial"/>
        <family val="2"/>
        <charset val="238"/>
      </rPr>
      <t xml:space="preserve">1 </t>
    </r>
  </si>
  <si>
    <r>
      <t xml:space="preserve">  Q</t>
    </r>
    <r>
      <rPr>
        <vertAlign val="subscript"/>
        <sz val="10"/>
        <rFont val="Arial"/>
        <family val="2"/>
        <charset val="238"/>
      </rPr>
      <t>D1</t>
    </r>
    <r>
      <rPr>
        <sz val="10"/>
        <rFont val="Arial"/>
        <family val="2"/>
        <charset val="238"/>
      </rPr>
      <t>=</t>
    </r>
  </si>
  <si>
    <t>FPOP D2</t>
  </si>
  <si>
    <r>
      <t>E</t>
    </r>
    <r>
      <rPr>
        <b/>
        <vertAlign val="subscript"/>
        <sz val="9"/>
        <rFont val="Arial"/>
        <family val="2"/>
        <charset val="238"/>
      </rPr>
      <t>1</t>
    </r>
  </si>
  <si>
    <t>A</t>
  </si>
  <si>
    <r>
      <t>P</t>
    </r>
    <r>
      <rPr>
        <vertAlign val="subscript"/>
        <sz val="9"/>
        <rFont val="Arial"/>
        <family val="2"/>
        <charset val="238"/>
      </rPr>
      <t>1</t>
    </r>
  </si>
  <si>
    <r>
      <t>P</t>
    </r>
    <r>
      <rPr>
        <vertAlign val="subscript"/>
        <sz val="9"/>
        <rFont val="Arial"/>
        <family val="2"/>
        <charset val="238"/>
      </rPr>
      <t>2</t>
    </r>
  </si>
  <si>
    <r>
      <t>Q</t>
    </r>
    <r>
      <rPr>
        <vertAlign val="subscript"/>
        <sz val="9"/>
        <rFont val="Arial"/>
        <family val="2"/>
        <charset val="238"/>
      </rPr>
      <t>1</t>
    </r>
  </si>
  <si>
    <r>
      <t>Q</t>
    </r>
    <r>
      <rPr>
        <vertAlign val="subscript"/>
        <sz val="9"/>
        <rFont val="Arial"/>
        <family val="2"/>
        <charset val="238"/>
      </rPr>
      <t>2</t>
    </r>
  </si>
  <si>
    <t>FPOP D3</t>
  </si>
  <si>
    <r>
      <t>D</t>
    </r>
    <r>
      <rPr>
        <b/>
        <vertAlign val="subscript"/>
        <sz val="10"/>
        <rFont val="Arial"/>
        <family val="2"/>
        <charset val="238"/>
      </rPr>
      <t xml:space="preserve">2 </t>
    </r>
  </si>
  <si>
    <r>
      <t xml:space="preserve">  Q</t>
    </r>
    <r>
      <rPr>
        <vertAlign val="subscript"/>
        <sz val="10"/>
        <rFont val="Arial"/>
        <family val="2"/>
        <charset val="238"/>
      </rPr>
      <t>D2</t>
    </r>
    <r>
      <rPr>
        <sz val="10"/>
        <rFont val="Arial"/>
        <family val="2"/>
        <charset val="238"/>
      </rPr>
      <t>=</t>
    </r>
  </si>
  <si>
    <r>
      <t>E</t>
    </r>
    <r>
      <rPr>
        <b/>
        <vertAlign val="subscript"/>
        <sz val="9"/>
        <rFont val="Arial"/>
        <family val="2"/>
        <charset val="238"/>
      </rPr>
      <t>2</t>
    </r>
  </si>
  <si>
    <r>
      <t>P</t>
    </r>
    <r>
      <rPr>
        <vertAlign val="subscript"/>
        <sz val="9"/>
        <rFont val="Arial"/>
        <family val="2"/>
        <charset val="238"/>
      </rPr>
      <t>3</t>
    </r>
  </si>
  <si>
    <r>
      <t>Q</t>
    </r>
    <r>
      <rPr>
        <vertAlign val="subscript"/>
        <sz val="9"/>
        <rFont val="Arial"/>
        <family val="2"/>
        <charset val="238"/>
      </rPr>
      <t>3</t>
    </r>
  </si>
  <si>
    <t>2*1,1</t>
  </si>
  <si>
    <r>
      <t>D</t>
    </r>
    <r>
      <rPr>
        <b/>
        <vertAlign val="subscript"/>
        <sz val="10"/>
        <rFont val="Arial"/>
        <family val="2"/>
        <charset val="238"/>
      </rPr>
      <t xml:space="preserve">3 </t>
    </r>
  </si>
  <si>
    <r>
      <t xml:space="preserve">  Q</t>
    </r>
    <r>
      <rPr>
        <vertAlign val="subscript"/>
        <sz val="10"/>
        <rFont val="Arial"/>
        <family val="2"/>
        <charset val="238"/>
      </rPr>
      <t>D3</t>
    </r>
    <r>
      <rPr>
        <sz val="10"/>
        <rFont val="Arial"/>
        <family val="2"/>
        <charset val="238"/>
      </rPr>
      <t>=</t>
    </r>
  </si>
  <si>
    <t>x-Q</t>
  </si>
  <si>
    <t>y-P</t>
  </si>
  <si>
    <t>E1</t>
  </si>
  <si>
    <t>E2</t>
  </si>
  <si>
    <t>E1-E2</t>
  </si>
  <si>
    <t>E1-A</t>
  </si>
  <si>
    <t>A-E2</t>
  </si>
  <si>
    <t>y-E1*0,1</t>
  </si>
  <si>
    <t xml:space="preserve">Worksheet 4ElasticDemSup - calculation of elasticity of demand and supply functions </t>
  </si>
  <si>
    <t>at selected points</t>
  </si>
  <si>
    <t>price elasticity of demand</t>
  </si>
  <si>
    <t>Demand function D</t>
  </si>
  <si>
    <t>? Help</t>
  </si>
  <si>
    <t xml:space="preserve">Neutral elasticity 1 </t>
  </si>
  <si>
    <t xml:space="preserve">price </t>
  </si>
  <si>
    <r>
      <t>price P</t>
    </r>
    <r>
      <rPr>
        <vertAlign val="subscript"/>
        <sz val="10"/>
        <rFont val="Arial"/>
        <family val="2"/>
        <charset val="238"/>
      </rPr>
      <t>1</t>
    </r>
  </si>
  <si>
    <r>
      <t>price P</t>
    </r>
    <r>
      <rPr>
        <vertAlign val="subscript"/>
        <sz val="10"/>
        <rFont val="Arial"/>
        <family val="2"/>
        <charset val="238"/>
      </rPr>
      <t>2</t>
    </r>
  </si>
  <si>
    <r>
      <t>quantity Q</t>
    </r>
    <r>
      <rPr>
        <vertAlign val="subscript"/>
        <sz val="10"/>
        <rFont val="Arial"/>
        <family val="2"/>
        <charset val="238"/>
      </rPr>
      <t>1</t>
    </r>
  </si>
  <si>
    <r>
      <t>quantity Q</t>
    </r>
    <r>
      <rPr>
        <vertAlign val="subscript"/>
        <sz val="10"/>
        <rFont val="Arial"/>
        <family val="2"/>
        <charset val="238"/>
      </rPr>
      <t>2</t>
    </r>
  </si>
  <si>
    <t>point elasticity of demand</t>
  </si>
  <si>
    <t>point elasticity</t>
  </si>
  <si>
    <t>of demand</t>
  </si>
  <si>
    <t>arch elasticity of demand</t>
  </si>
  <si>
    <t xml:space="preserve">arch elasticity </t>
  </si>
  <si>
    <t xml:space="preserve">of demand </t>
  </si>
  <si>
    <r>
      <t xml:space="preserve">Frame </t>
    </r>
    <r>
      <rPr>
        <b/>
        <sz val="12"/>
        <rFont val="Arial"/>
        <family val="2"/>
        <charset val="238"/>
      </rPr>
      <t xml:space="preserve">2  </t>
    </r>
    <r>
      <rPr>
        <sz val="10"/>
        <rFont val="Arial"/>
        <family val="2"/>
        <charset val="238"/>
      </rPr>
      <t xml:space="preserve"> price elasticity od </t>
    </r>
    <r>
      <rPr>
        <b/>
        <sz val="10"/>
        <rFont val="Arial"/>
        <family val="2"/>
        <charset val="238"/>
      </rPr>
      <t>demand and supply</t>
    </r>
  </si>
  <si>
    <t>market equilibrium</t>
  </si>
  <si>
    <t>price</t>
  </si>
  <si>
    <t>point price elasticity</t>
  </si>
  <si>
    <t>of supply</t>
  </si>
  <si>
    <t>Frame3  mixed price elasticity - good A and B</t>
  </si>
  <si>
    <t>Demand function - good A</t>
  </si>
  <si>
    <t>Supply functions - good A</t>
  </si>
  <si>
    <t>Demand functions  - good B</t>
  </si>
  <si>
    <t>Supply function - good B</t>
  </si>
  <si>
    <t>market equilibrium 1</t>
  </si>
  <si>
    <t>Mixed elasticity</t>
  </si>
  <si>
    <t>market equilibrium 2</t>
  </si>
  <si>
    <t>Frame 5 - price elasticity of supply</t>
  </si>
  <si>
    <t>Neutral elasticity 1</t>
  </si>
  <si>
    <t>Point elasticity of supply</t>
  </si>
  <si>
    <t>Arch elasticity of supply</t>
  </si>
  <si>
    <t>arch elasticity</t>
  </si>
  <si>
    <t>Frame 4 Income elasticity of demand</t>
  </si>
  <si>
    <t>Income demand function</t>
  </si>
  <si>
    <r>
      <t>Relative increase of supply (</t>
    </r>
    <r>
      <rPr>
        <b/>
        <sz val="10"/>
        <rFont val="Czcionka tekstu podstawowego"/>
        <charset val="238"/>
      </rPr>
      <t>∆</t>
    </r>
    <r>
      <rPr>
        <b/>
        <sz val="8"/>
        <rFont val="Arial"/>
        <family val="2"/>
        <charset val="238"/>
      </rPr>
      <t>D/D)</t>
    </r>
  </si>
  <si>
    <t>Worksheet 5 ElasticRevenue - calculation of elasticity of total and marginal revenue function</t>
  </si>
  <si>
    <t>quantity</t>
  </si>
  <si>
    <t>total</t>
  </si>
  <si>
    <t>revenue</t>
  </si>
  <si>
    <t>average</t>
  </si>
  <si>
    <t>marginal</t>
  </si>
  <si>
    <t>Total revenue</t>
  </si>
  <si>
    <t>Marginal revenue</t>
  </si>
  <si>
    <t xml:space="preserve">point elasticity </t>
  </si>
  <si>
    <t>Reverse demand function</t>
  </si>
  <si>
    <t>Frame 1 - What can we buy?</t>
  </si>
  <si>
    <t>Frame 2 - What do we want to buy?</t>
  </si>
  <si>
    <t>good X</t>
  </si>
  <si>
    <t>good Y</t>
  </si>
  <si>
    <t>calculating the BL budget line equation</t>
  </si>
  <si>
    <t>Budget line (BL1)</t>
  </si>
  <si>
    <t>from</t>
  </si>
  <si>
    <t>to</t>
  </si>
  <si>
    <t>estimation of indifference curve - the regression function</t>
  </si>
  <si>
    <t>consumer baskets</t>
  </si>
  <si>
    <t>Hyperbolic regression curve</t>
  </si>
  <si>
    <t>value of Qx</t>
  </si>
  <si>
    <t>Consumer baskets ilościowo - budget line BL</t>
  </si>
  <si>
    <t>Good X</t>
  </si>
  <si>
    <t>Good Y</t>
  </si>
  <si>
    <t>Consumer baskets</t>
  </si>
  <si>
    <t>Frame 3 - BL utility analysis</t>
  </si>
  <si>
    <t xml:space="preserve"> good U(Qx) utility function</t>
  </si>
  <si>
    <t xml:space="preserve">good U(Qy) utility function </t>
  </si>
  <si>
    <t>Total utility TU</t>
  </si>
  <si>
    <t>Marginal utility MU(Qx)</t>
  </si>
  <si>
    <t>regression of the utility function (the function coefficients should be rewritten from the chart below)</t>
  </si>
  <si>
    <t>Frame3a - I utility analysis</t>
  </si>
  <si>
    <t>utility function of the</t>
  </si>
  <si>
    <t>indifference curve basket</t>
  </si>
  <si>
    <t>good U(Qy) utility function</t>
  </si>
  <si>
    <t>of the indifference curve basket</t>
  </si>
  <si>
    <t>Total utility</t>
  </si>
  <si>
    <t>Frame1b - What can we have?</t>
  </si>
  <si>
    <t>Frame1a -</t>
  </si>
  <si>
    <t>marginal utility - additional consumer baskets</t>
  </si>
  <si>
    <t>change in utility value per product quantity change</t>
  </si>
  <si>
    <t>2 demand function</t>
  </si>
  <si>
    <t>demand function</t>
  </si>
  <si>
    <t>point elasticity of demand function</t>
  </si>
  <si>
    <t xml:space="preserve">Frame 2 </t>
  </si>
  <si>
    <t>supply function</t>
  </si>
  <si>
    <t>Frame 3</t>
  </si>
  <si>
    <t>reverse demand function</t>
  </si>
  <si>
    <t>point TR1max</t>
  </si>
  <si>
    <t xml:space="preserve">value of consumer baskets </t>
  </si>
  <si>
    <t xml:space="preserve"> value of consumer baskets </t>
  </si>
  <si>
    <t>number of consumer baskets - budget line BL</t>
  </si>
  <si>
    <t>frame 1b regression</t>
  </si>
  <si>
    <t>to finish</t>
  </si>
  <si>
    <t>table for hyperoblic regression</t>
  </si>
  <si>
    <t>Solution of the system of 3 equations</t>
  </si>
  <si>
    <t xml:space="preserve">Budget line 1 (BL1) </t>
  </si>
  <si>
    <t>Consumer equilibrium E1</t>
  </si>
  <si>
    <t>Indifference curve 1 tangent to budget line 1</t>
  </si>
  <si>
    <t>Consumer indifference curve  1 (I)</t>
  </si>
  <si>
    <t>Budget line 2 (BL2)</t>
  </si>
  <si>
    <t>Consumer indifference curve   2 (I)</t>
  </si>
  <si>
    <t>Indifference curve 2 tangent to budget line 2</t>
  </si>
  <si>
    <t>Consumer equilibrium E2</t>
  </si>
  <si>
    <t>The point of tangency of the budget line with an indifference curve 1</t>
  </si>
  <si>
    <t>Function from comparing both curves 1</t>
  </si>
  <si>
    <t>budget line 1</t>
  </si>
  <si>
    <t>Indifference curve 1</t>
  </si>
  <si>
    <t>function from comparing both curves2</t>
  </si>
  <si>
    <t>The point of tangency of the budget line with an indifference curve2</t>
  </si>
  <si>
    <t>Budget line2</t>
  </si>
  <si>
    <t>indifference curve2</t>
  </si>
  <si>
    <t>Utility</t>
  </si>
  <si>
    <t>utility</t>
  </si>
  <si>
    <t>abscissa</t>
  </si>
  <si>
    <t>ordinate</t>
  </si>
  <si>
    <t>MICROECONOMIC MODELS  MMikroWZUW 1.0 ®     Zalega-Szałański © </t>
  </si>
  <si>
    <t xml:space="preserve">Worksheet 7 BL-I - calculation of bufget line BL, indifference curve I </t>
  </si>
  <si>
    <t xml:space="preserve">Budget Line 1 (BL1) </t>
  </si>
  <si>
    <t>Consumer confidence curve   1</t>
  </si>
  <si>
    <t>Indifference curve 1 tangent with budget line 1</t>
  </si>
  <si>
    <t xml:space="preserve">
Indifference curve of the consumer 2</t>
  </si>
  <si>
    <t>help</t>
  </si>
  <si>
    <t>Indifference curve 2 tangent with budget line 2</t>
  </si>
  <si>
    <t>Budget Line 3 (BL3)</t>
  </si>
  <si>
    <t>Indifference curve of the consumer 2</t>
  </si>
  <si>
    <t>consumer's optimum E3</t>
  </si>
  <si>
    <t>consumer's optimum E2</t>
  </si>
  <si>
    <t>consumer's optimum E1</t>
  </si>
  <si>
    <t>Worksheet 8 - calculation of ICC and Engel's curve</t>
  </si>
  <si>
    <t>Worksheet 8 - calculation of ICC and D curve</t>
  </si>
  <si>
    <t>Consumer's optimum E1</t>
  </si>
  <si>
    <t>Budget Line 2 (BL2)</t>
  </si>
  <si>
    <t>Indifference curve of the customer  2</t>
  </si>
  <si>
    <t>Indifference curve of the consumer 1</t>
  </si>
  <si>
    <t>Function from comparing both curves1</t>
  </si>
  <si>
    <t>Function from comparing both curves 2</t>
  </si>
  <si>
    <t>budget line2</t>
  </si>
  <si>
    <t>Indifference curve2</t>
  </si>
  <si>
    <t>Function from comparing both curves3</t>
  </si>
  <si>
    <t>The point of tangency of the budget line with an indifference curve3</t>
  </si>
  <si>
    <t>Budget line3</t>
  </si>
  <si>
    <t>Indifference curve3</t>
  </si>
  <si>
    <t>Budget line 3 (BL3)</t>
  </si>
  <si>
    <t>Indifference curve of the costumer   2</t>
  </si>
  <si>
    <t>Insert for good X</t>
  </si>
  <si>
    <t>Insert for good Y</t>
  </si>
  <si>
    <t>ICC curve</t>
  </si>
  <si>
    <t>Consumer equilibirums</t>
  </si>
  <si>
    <t>Demand curve for good X</t>
  </si>
  <si>
    <t>Demand curve for good Y</t>
  </si>
  <si>
    <t>The simple equation</t>
  </si>
  <si>
    <t>Consumer's optimum E2</t>
  </si>
  <si>
    <t>Consumer's optimum E3</t>
  </si>
  <si>
    <t xml:space="preserve"> consumer equilibrium E1</t>
  </si>
  <si>
    <t xml:space="preserve"> indifference curve 2 tangent with budget line 2</t>
  </si>
  <si>
    <t xml:space="preserve"> indifference curve 1 tangent with budget line 1</t>
  </si>
  <si>
    <t xml:space="preserve"> consumer equilibrium E2</t>
  </si>
  <si>
    <t xml:space="preserve"> consumer equilibrium E3</t>
  </si>
  <si>
    <t xml:space="preserve">Budget line 2 (BL2) </t>
  </si>
  <si>
    <t xml:space="preserve">Budget line 3 (BL3) </t>
  </si>
  <si>
    <t xml:space="preserve"> indifference curve 1 tangent with budget line 2</t>
  </si>
  <si>
    <t>Demand curves</t>
  </si>
  <si>
    <t>effect</t>
  </si>
  <si>
    <t>Total effect</t>
  </si>
  <si>
    <t>Price</t>
  </si>
  <si>
    <t>Total effect =</t>
  </si>
  <si>
    <t>Curve DC</t>
  </si>
  <si>
    <t>prices</t>
  </si>
  <si>
    <t xml:space="preserve">consumer's 1 indifference curve </t>
  </si>
  <si>
    <t xml:space="preserve">consumer's 2 indifference curve   </t>
  </si>
  <si>
    <t xml:space="preserve">consumer's 2 indifference curve </t>
  </si>
  <si>
    <t>team of students from Warsaw University Menagment Department :</t>
  </si>
  <si>
    <t xml:space="preserve">Authors would like to  sincerely thank </t>
  </si>
  <si>
    <r>
      <t>MR=P(1 + 1/E</t>
    </r>
    <r>
      <rPr>
        <vertAlign val="subscript"/>
        <sz val="10"/>
        <rFont val="Arial"/>
        <family val="2"/>
        <charset val="238"/>
      </rPr>
      <t>pd</t>
    </r>
    <r>
      <rPr>
        <sz val="10"/>
        <rFont val="Arial"/>
        <family val="2"/>
        <charset val="238"/>
      </rPr>
      <t xml:space="preserve">) = </t>
    </r>
  </si>
  <si>
    <r>
      <t>E</t>
    </r>
    <r>
      <rPr>
        <b/>
        <vertAlign val="subscript"/>
        <sz val="12"/>
        <rFont val="Arial"/>
        <family val="2"/>
        <charset val="238"/>
      </rPr>
      <t>pd</t>
    </r>
    <r>
      <rPr>
        <b/>
        <sz val="12"/>
        <rFont val="Arial"/>
        <family val="2"/>
        <charset val="238"/>
      </rPr>
      <t>=</t>
    </r>
  </si>
  <si>
    <r>
      <t>E</t>
    </r>
    <r>
      <rPr>
        <b/>
        <vertAlign val="subscript"/>
        <sz val="12"/>
        <rFont val="Arial"/>
        <family val="2"/>
        <charset val="238"/>
      </rPr>
      <t>ps</t>
    </r>
    <r>
      <rPr>
        <b/>
        <sz val="12"/>
        <rFont val="Arial"/>
        <family val="2"/>
        <charset val="238"/>
      </rPr>
      <t>=</t>
    </r>
  </si>
  <si>
    <t>Drwal Olga 408634</t>
  </si>
  <si>
    <t>Rozbicka Iga 411401</t>
  </si>
  <si>
    <t>Wakuła Iza   412122</t>
  </si>
  <si>
    <t>Tomala Piotr  412104</t>
  </si>
  <si>
    <t>Ilczak Nikodem  408735</t>
  </si>
  <si>
    <t>Brudnicki Bartłomiej  407866</t>
  </si>
  <si>
    <t>Osypowycz Andrzej 411344  </t>
  </si>
  <si>
    <t>Szczęsna Katarzyna 411816</t>
  </si>
  <si>
    <t>translated the team in the composition: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</si>
</sst>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color indexed="9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10"/>
      <name val="Czcionka tekstu podstawowego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Czcionka tekstu podstawowego"/>
      <charset val="238"/>
    </font>
    <font>
      <sz val="12"/>
      <name val="Czcionka tekstu podstawowego"/>
      <charset val="238"/>
    </font>
    <font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vertAlign val="subscript"/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b/>
      <vertAlign val="subscript"/>
      <sz val="10"/>
      <color indexed="9"/>
      <name val="Arial"/>
      <family val="2"/>
      <charset val="238"/>
    </font>
    <font>
      <vertAlign val="subscript"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sz val="8"/>
      <color rgb="FFFFFF00"/>
      <name val="Arial"/>
      <family val="2"/>
      <charset val="238"/>
    </font>
    <font>
      <b/>
      <sz val="9"/>
      <color rgb="FFFFFF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1"/>
      <color rgb="FFFFFF00"/>
      <name val="Arial"/>
      <family val="2"/>
      <charset val="238"/>
    </font>
    <font>
      <b/>
      <sz val="12"/>
      <color rgb="FFFFFF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7"/>
      <color theme="3" tint="-0.249977111117893"/>
      <name val="Arial"/>
      <family val="2"/>
      <charset val="238"/>
    </font>
    <font>
      <sz val="7"/>
      <name val="Arial Unicode MS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3">
    <xf numFmtId="0" fontId="0" fillId="0" borderId="0" xfId="0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4" borderId="0" xfId="0" applyFill="1"/>
    <xf numFmtId="0" fontId="0" fillId="5" borderId="0" xfId="0" applyFill="1"/>
    <xf numFmtId="0" fontId="6" fillId="6" borderId="0" xfId="0" applyFont="1" applyFill="1" applyAlignment="1">
      <alignment horizontal="right"/>
    </xf>
    <xf numFmtId="0" fontId="6" fillId="6" borderId="0" xfId="0" applyFont="1" applyFill="1"/>
    <xf numFmtId="0" fontId="1" fillId="4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3" borderId="0" xfId="0" applyFill="1" applyBorder="1"/>
    <xf numFmtId="0" fontId="0" fillId="3" borderId="5" xfId="0" applyFill="1" applyBorder="1"/>
    <xf numFmtId="0" fontId="0" fillId="9" borderId="0" xfId="0" applyFill="1" applyAlignment="1">
      <alignment horizontal="center"/>
    </xf>
    <xf numFmtId="0" fontId="0" fillId="0" borderId="0" xfId="0" applyFill="1"/>
    <xf numFmtId="0" fontId="0" fillId="9" borderId="2" xfId="0" applyFill="1" applyBorder="1"/>
    <xf numFmtId="0" fontId="0" fillId="9" borderId="6" xfId="0" applyFill="1" applyBorder="1"/>
    <xf numFmtId="0" fontId="0" fillId="9" borderId="0" xfId="0" applyFill="1" applyBorder="1"/>
    <xf numFmtId="0" fontId="0" fillId="9" borderId="7" xfId="0" applyFill="1" applyBorder="1"/>
    <xf numFmtId="0" fontId="0" fillId="0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2" fontId="0" fillId="0" borderId="0" xfId="0" applyNumberFormat="1"/>
    <xf numFmtId="0" fontId="0" fillId="9" borderId="5" xfId="0" applyFill="1" applyBorder="1" applyAlignment="1">
      <alignment horizontal="center"/>
    </xf>
    <xf numFmtId="0" fontId="0" fillId="0" borderId="5" xfId="0" applyFill="1" applyBorder="1"/>
    <xf numFmtId="2" fontId="3" fillId="0" borderId="0" xfId="0" applyNumberFormat="1" applyFont="1" applyFill="1"/>
    <xf numFmtId="2" fontId="3" fillId="0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10" borderId="0" xfId="0" applyFill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11" borderId="0" xfId="0" applyFill="1"/>
    <xf numFmtId="0" fontId="0" fillId="12" borderId="0" xfId="0" applyFill="1"/>
    <xf numFmtId="0" fontId="32" fillId="13" borderId="0" xfId="0" applyFont="1" applyFill="1"/>
    <xf numFmtId="0" fontId="3" fillId="0" borderId="0" xfId="0" applyFont="1" applyAlignment="1">
      <alignment horizontal="center"/>
    </xf>
    <xf numFmtId="0" fontId="3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2" fontId="3" fillId="0" borderId="0" xfId="0" applyNumberFormat="1" applyFont="1" applyFill="1" applyBorder="1"/>
    <xf numFmtId="0" fontId="0" fillId="14" borderId="0" xfId="0" applyFill="1"/>
    <xf numFmtId="0" fontId="16" fillId="0" borderId="0" xfId="0" applyFont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2" fontId="0" fillId="0" borderId="3" xfId="0" applyNumberFormat="1" applyBorder="1"/>
    <xf numFmtId="0" fontId="0" fillId="0" borderId="4" xfId="0" applyBorder="1"/>
    <xf numFmtId="0" fontId="0" fillId="0" borderId="8" xfId="0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2" fontId="32" fillId="15" borderId="0" xfId="0" applyNumberFormat="1" applyFont="1" applyFill="1" applyAlignment="1">
      <alignment horizontal="center"/>
    </xf>
    <xf numFmtId="2" fontId="33" fillId="15" borderId="0" xfId="0" applyNumberFormat="1" applyFont="1" applyFill="1" applyAlignment="1">
      <alignment horizontal="center"/>
    </xf>
    <xf numFmtId="0" fontId="0" fillId="0" borderId="0" xfId="0" applyAlignment="1"/>
    <xf numFmtId="0" fontId="0" fillId="16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32" fillId="17" borderId="0" xfId="0" applyFont="1" applyFill="1" applyAlignment="1">
      <alignment horizontal="center"/>
    </xf>
    <xf numFmtId="0" fontId="0" fillId="0" borderId="1" xfId="0" applyBorder="1"/>
    <xf numFmtId="0" fontId="0" fillId="0" borderId="4" xfId="0" applyFill="1" applyBorder="1"/>
    <xf numFmtId="0" fontId="3" fillId="9" borderId="0" xfId="0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/>
    <xf numFmtId="0" fontId="1" fillId="0" borderId="0" xfId="0" applyFont="1"/>
    <xf numFmtId="165" fontId="0" fillId="0" borderId="0" xfId="0" applyNumberFormat="1"/>
    <xf numFmtId="0" fontId="34" fillId="15" borderId="0" xfId="0" applyFont="1" applyFill="1" applyAlignment="1">
      <alignment horizontal="center"/>
    </xf>
    <xf numFmtId="0" fontId="35" fillId="15" borderId="0" xfId="0" applyFont="1" applyFill="1" applyAlignment="1">
      <alignment horizontal="center"/>
    </xf>
    <xf numFmtId="0" fontId="34" fillId="15" borderId="0" xfId="0" applyFont="1" applyFill="1" applyAlignment="1">
      <alignment horizontal="center" vertical="center"/>
    </xf>
    <xf numFmtId="0" fontId="0" fillId="18" borderId="0" xfId="0" applyFill="1"/>
    <xf numFmtId="0" fontId="0" fillId="19" borderId="0" xfId="0" applyFill="1"/>
    <xf numFmtId="0" fontId="32" fillId="20" borderId="0" xfId="0" applyFont="1" applyFill="1"/>
    <xf numFmtId="0" fontId="1" fillId="10" borderId="0" xfId="0" applyFont="1" applyFill="1"/>
    <xf numFmtId="0" fontId="32" fillId="18" borderId="0" xfId="0" applyFont="1" applyFill="1"/>
    <xf numFmtId="0" fontId="36" fillId="18" borderId="0" xfId="0" applyFont="1" applyFill="1"/>
    <xf numFmtId="0" fontId="1" fillId="0" borderId="0" xfId="0" applyFont="1" applyFill="1"/>
    <xf numFmtId="0" fontId="1" fillId="16" borderId="0" xfId="0" applyFont="1" applyFill="1"/>
    <xf numFmtId="0" fontId="0" fillId="16" borderId="0" xfId="0" applyFill="1"/>
    <xf numFmtId="0" fontId="0" fillId="16" borderId="1" xfId="0" applyFill="1" applyBorder="1"/>
    <xf numFmtId="0" fontId="0" fillId="16" borderId="2" xfId="0" applyFill="1" applyBorder="1"/>
    <xf numFmtId="0" fontId="0" fillId="16" borderId="6" xfId="0" applyFill="1" applyBorder="1"/>
    <xf numFmtId="0" fontId="0" fillId="16" borderId="3" xfId="0" applyFill="1" applyBorder="1"/>
    <xf numFmtId="0" fontId="0" fillId="16" borderId="0" xfId="0" applyFill="1" applyBorder="1"/>
    <xf numFmtId="0" fontId="0" fillId="16" borderId="7" xfId="0" applyFill="1" applyBorder="1"/>
    <xf numFmtId="0" fontId="0" fillId="16" borderId="0" xfId="0" applyFill="1" applyBorder="1" applyAlignment="1">
      <alignment horizontal="center"/>
    </xf>
    <xf numFmtId="2" fontId="0" fillId="16" borderId="0" xfId="0" applyNumberFormat="1" applyFill="1" applyBorder="1"/>
    <xf numFmtId="0" fontId="0" fillId="16" borderId="5" xfId="0" applyFill="1" applyBorder="1"/>
    <xf numFmtId="0" fontId="0" fillId="16" borderId="8" xfId="0" applyFill="1" applyBorder="1"/>
    <xf numFmtId="2" fontId="0" fillId="16" borderId="5" xfId="0" applyNumberFormat="1" applyFill="1" applyBorder="1"/>
    <xf numFmtId="2" fontId="0" fillId="16" borderId="5" xfId="0" applyNumberFormat="1" applyFill="1" applyBorder="1" applyAlignment="1">
      <alignment horizontal="center"/>
    </xf>
    <xf numFmtId="164" fontId="0" fillId="16" borderId="0" xfId="0" applyNumberFormat="1" applyFill="1"/>
    <xf numFmtId="164" fontId="3" fillId="16" borderId="0" xfId="0" applyNumberFormat="1" applyFont="1" applyFill="1"/>
    <xf numFmtId="2" fontId="3" fillId="16" borderId="9" xfId="0" applyNumberFormat="1" applyFont="1" applyFill="1" applyBorder="1"/>
    <xf numFmtId="2" fontId="0" fillId="16" borderId="0" xfId="0" applyNumberFormat="1" applyFill="1"/>
    <xf numFmtId="0" fontId="10" fillId="16" borderId="0" xfId="0" applyFont="1" applyFill="1" applyAlignment="1">
      <alignment horizontal="right"/>
    </xf>
    <xf numFmtId="0" fontId="0" fillId="16" borderId="0" xfId="0" applyFill="1" applyAlignment="1">
      <alignment horizontal="left"/>
    </xf>
    <xf numFmtId="0" fontId="0" fillId="21" borderId="0" xfId="0" applyFill="1" applyBorder="1"/>
    <xf numFmtId="0" fontId="0" fillId="21" borderId="2" xfId="0" applyFill="1" applyBorder="1"/>
    <xf numFmtId="0" fontId="0" fillId="21" borderId="6" xfId="0" applyFill="1" applyBorder="1"/>
    <xf numFmtId="0" fontId="34" fillId="15" borderId="0" xfId="0" applyFont="1" applyFill="1" applyBorder="1" applyAlignment="1">
      <alignment horizontal="center"/>
    </xf>
    <xf numFmtId="2" fontId="33" fillId="15" borderId="0" xfId="0" applyNumberFormat="1" applyFont="1" applyFill="1" applyAlignment="1">
      <alignment horizontal="center" vertical="center"/>
    </xf>
    <xf numFmtId="0" fontId="0" fillId="21" borderId="0" xfId="0" applyFill="1"/>
    <xf numFmtId="0" fontId="3" fillId="21" borderId="0" xfId="0" applyFont="1" applyFill="1"/>
    <xf numFmtId="0" fontId="3" fillId="16" borderId="0" xfId="0" applyFont="1" applyFill="1"/>
    <xf numFmtId="0" fontId="1" fillId="16" borderId="0" xfId="0" applyFon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1" fillId="16" borderId="0" xfId="0" applyFont="1" applyFill="1" applyAlignment="1">
      <alignment horizontal="left"/>
    </xf>
    <xf numFmtId="0" fontId="22" fillId="16" borderId="10" xfId="0" applyFont="1" applyFill="1" applyBorder="1" applyAlignment="1">
      <alignment horizontal="center" vertical="center"/>
    </xf>
    <xf numFmtId="2" fontId="22" fillId="16" borderId="11" xfId="0" applyNumberFormat="1" applyFont="1" applyFill="1" applyBorder="1" applyAlignment="1">
      <alignment horizontal="center" vertical="center"/>
    </xf>
    <xf numFmtId="0" fontId="22" fillId="16" borderId="12" xfId="0" applyFont="1" applyFill="1" applyBorder="1" applyAlignment="1">
      <alignment horizontal="center" vertical="center"/>
    </xf>
    <xf numFmtId="2" fontId="22" fillId="16" borderId="13" xfId="0" applyNumberFormat="1" applyFont="1" applyFill="1" applyBorder="1" applyAlignment="1">
      <alignment horizontal="center" vertical="center"/>
    </xf>
    <xf numFmtId="0" fontId="22" fillId="16" borderId="14" xfId="0" applyFont="1" applyFill="1" applyBorder="1" applyAlignment="1">
      <alignment horizontal="center" vertical="center"/>
    </xf>
    <xf numFmtId="2" fontId="22" fillId="16" borderId="7" xfId="0" applyNumberFormat="1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center" vertical="center"/>
    </xf>
    <xf numFmtId="2" fontId="22" fillId="16" borderId="15" xfId="0" applyNumberFormat="1" applyFont="1" applyFill="1" applyBorder="1" applyAlignment="1">
      <alignment horizontal="center" vertical="center"/>
    </xf>
    <xf numFmtId="0" fontId="22" fillId="16" borderId="16" xfId="0" applyFont="1" applyFill="1" applyBorder="1" applyAlignment="1">
      <alignment horizontal="center" vertical="center"/>
    </xf>
    <xf numFmtId="2" fontId="22" fillId="16" borderId="6" xfId="0" applyNumberFormat="1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2" fontId="22" fillId="16" borderId="17" xfId="0" applyNumberFormat="1" applyFont="1" applyFill="1" applyBorder="1" applyAlignment="1">
      <alignment horizontal="center" vertical="center"/>
    </xf>
    <xf numFmtId="0" fontId="22" fillId="16" borderId="18" xfId="0" applyFont="1" applyFill="1" applyBorder="1" applyAlignment="1">
      <alignment horizontal="center" vertical="center"/>
    </xf>
    <xf numFmtId="2" fontId="22" fillId="16" borderId="19" xfId="0" applyNumberFormat="1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2" fontId="22" fillId="16" borderId="21" xfId="0" applyNumberFormat="1" applyFont="1" applyFill="1" applyBorder="1" applyAlignment="1">
      <alignment horizontal="center" vertical="center"/>
    </xf>
    <xf numFmtId="0" fontId="0" fillId="22" borderId="0" xfId="0" applyFill="1"/>
    <xf numFmtId="0" fontId="0" fillId="22" borderId="0" xfId="0" applyFill="1" applyAlignment="1">
      <alignment horizontal="center"/>
    </xf>
    <xf numFmtId="0" fontId="22" fillId="16" borderId="0" xfId="0" applyFont="1" applyFill="1"/>
    <xf numFmtId="0" fontId="23" fillId="16" borderId="0" xfId="0" applyFont="1" applyFill="1"/>
    <xf numFmtId="0" fontId="10" fillId="16" borderId="0" xfId="0" applyFont="1" applyFill="1"/>
    <xf numFmtId="0" fontId="20" fillId="16" borderId="0" xfId="0" applyFont="1" applyFill="1"/>
    <xf numFmtId="0" fontId="0" fillId="16" borderId="12" xfId="0" applyFill="1" applyBorder="1"/>
    <xf numFmtId="0" fontId="0" fillId="16" borderId="13" xfId="0" applyFill="1" applyBorder="1"/>
    <xf numFmtId="0" fontId="0" fillId="22" borderId="20" xfId="0" applyFill="1" applyBorder="1"/>
    <xf numFmtId="0" fontId="0" fillId="22" borderId="21" xfId="0" applyFill="1" applyBorder="1"/>
    <xf numFmtId="0" fontId="10" fillId="21" borderId="0" xfId="0" applyFont="1" applyFill="1"/>
    <xf numFmtId="0" fontId="22" fillId="21" borderId="0" xfId="0" applyFont="1" applyFill="1"/>
    <xf numFmtId="0" fontId="23" fillId="21" borderId="0" xfId="0" applyFont="1" applyFill="1"/>
    <xf numFmtId="0" fontId="1" fillId="21" borderId="0" xfId="0" applyFont="1" applyFill="1"/>
    <xf numFmtId="0" fontId="20" fillId="21" borderId="0" xfId="0" applyFont="1" applyFill="1"/>
    <xf numFmtId="0" fontId="1" fillId="16" borderId="2" xfId="0" applyFont="1" applyFill="1" applyBorder="1"/>
    <xf numFmtId="0" fontId="0" fillId="16" borderId="4" xfId="0" applyFill="1" applyBorder="1"/>
    <xf numFmtId="0" fontId="3" fillId="16" borderId="0" xfId="0" applyFont="1" applyFill="1" applyAlignment="1">
      <alignment horizontal="right"/>
    </xf>
    <xf numFmtId="0" fontId="0" fillId="16" borderId="0" xfId="0" applyFill="1" applyAlignment="1">
      <alignment horizontal="right"/>
    </xf>
    <xf numFmtId="0" fontId="10" fillId="16" borderId="10" xfId="0" applyFont="1" applyFill="1" applyBorder="1" applyAlignment="1">
      <alignment horizontal="center" vertical="center"/>
    </xf>
    <xf numFmtId="2" fontId="10" fillId="16" borderId="11" xfId="0" applyNumberFormat="1" applyFont="1" applyFill="1" applyBorder="1" applyAlignment="1">
      <alignment horizontal="center" vertical="center"/>
    </xf>
    <xf numFmtId="2" fontId="10" fillId="16" borderId="12" xfId="0" applyNumberFormat="1" applyFont="1" applyFill="1" applyBorder="1" applyAlignment="1">
      <alignment horizontal="center" vertical="center"/>
    </xf>
    <xf numFmtId="2" fontId="10" fillId="16" borderId="13" xfId="0" applyNumberFormat="1" applyFont="1" applyFill="1" applyBorder="1" applyAlignment="1">
      <alignment horizontal="center" vertical="center"/>
    </xf>
    <xf numFmtId="2" fontId="3" fillId="16" borderId="0" xfId="0" applyNumberFormat="1" applyFont="1" applyFill="1"/>
    <xf numFmtId="0" fontId="10" fillId="16" borderId="14" xfId="0" applyFont="1" applyFill="1" applyBorder="1" applyAlignment="1">
      <alignment horizontal="center" vertical="center"/>
    </xf>
    <xf numFmtId="2" fontId="10" fillId="16" borderId="7" xfId="0" applyNumberFormat="1" applyFont="1" applyFill="1" applyBorder="1" applyAlignment="1">
      <alignment horizontal="center" vertical="center"/>
    </xf>
    <xf numFmtId="2" fontId="10" fillId="16" borderId="0" xfId="0" applyNumberFormat="1" applyFont="1" applyFill="1" applyBorder="1" applyAlignment="1">
      <alignment horizontal="center" vertical="center"/>
    </xf>
    <xf numFmtId="2" fontId="10" fillId="16" borderId="15" xfId="0" applyNumberFormat="1" applyFont="1" applyFill="1" applyBorder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2" fontId="10" fillId="16" borderId="6" xfId="0" applyNumberFormat="1" applyFont="1" applyFill="1" applyBorder="1" applyAlignment="1">
      <alignment horizontal="center" vertical="center"/>
    </xf>
    <xf numFmtId="2" fontId="10" fillId="16" borderId="2" xfId="0" applyNumberFormat="1" applyFont="1" applyFill="1" applyBorder="1" applyAlignment="1">
      <alignment horizontal="center" vertical="center"/>
    </xf>
    <xf numFmtId="2" fontId="10" fillId="16" borderId="17" xfId="0" applyNumberFormat="1" applyFont="1" applyFill="1" applyBorder="1" applyAlignment="1">
      <alignment horizontal="center" vertical="center"/>
    </xf>
    <xf numFmtId="0" fontId="10" fillId="16" borderId="18" xfId="0" applyFont="1" applyFill="1" applyBorder="1" applyAlignment="1">
      <alignment horizontal="center" vertical="center"/>
    </xf>
    <xf numFmtId="2" fontId="10" fillId="16" borderId="19" xfId="0" applyNumberFormat="1" applyFont="1" applyFill="1" applyBorder="1" applyAlignment="1">
      <alignment horizontal="center" vertical="center"/>
    </xf>
    <xf numFmtId="2" fontId="10" fillId="16" borderId="20" xfId="0" applyNumberFormat="1" applyFont="1" applyFill="1" applyBorder="1" applyAlignment="1">
      <alignment horizontal="center" vertical="center"/>
    </xf>
    <xf numFmtId="2" fontId="10" fillId="16" borderId="21" xfId="0" applyNumberFormat="1" applyFont="1" applyFill="1" applyBorder="1" applyAlignment="1">
      <alignment horizontal="center" vertical="center"/>
    </xf>
    <xf numFmtId="2" fontId="24" fillId="16" borderId="0" xfId="0" applyNumberFormat="1" applyFont="1" applyFill="1"/>
    <xf numFmtId="0" fontId="23" fillId="16" borderId="0" xfId="0" applyFont="1" applyFill="1" applyAlignment="1">
      <alignment horizontal="right"/>
    </xf>
    <xf numFmtId="0" fontId="22" fillId="16" borderId="0" xfId="0" applyFont="1" applyFill="1" applyAlignment="1">
      <alignment horizontal="right"/>
    </xf>
    <xf numFmtId="0" fontId="0" fillId="22" borderId="0" xfId="0" applyFill="1" applyBorder="1"/>
    <xf numFmtId="0" fontId="0" fillId="22" borderId="5" xfId="0" applyFill="1" applyBorder="1"/>
    <xf numFmtId="0" fontId="10" fillId="16" borderId="22" xfId="0" applyFont="1" applyFill="1" applyBorder="1"/>
    <xf numFmtId="0" fontId="10" fillId="16" borderId="23" xfId="0" applyFont="1" applyFill="1" applyBorder="1"/>
    <xf numFmtId="0" fontId="0" fillId="21" borderId="1" xfId="0" applyFill="1" applyBorder="1"/>
    <xf numFmtId="0" fontId="0" fillId="21" borderId="3" xfId="0" applyFill="1" applyBorder="1"/>
    <xf numFmtId="0" fontId="0" fillId="21" borderId="7" xfId="0" applyFill="1" applyBorder="1"/>
    <xf numFmtId="0" fontId="0" fillId="21" borderId="5" xfId="0" applyFill="1" applyBorder="1"/>
    <xf numFmtId="0" fontId="3" fillId="21" borderId="0" xfId="0" applyFont="1" applyFill="1" applyAlignment="1">
      <alignment horizontal="center"/>
    </xf>
    <xf numFmtId="0" fontId="3" fillId="21" borderId="0" xfId="0" applyFont="1" applyFill="1" applyAlignment="1">
      <alignment horizontal="left"/>
    </xf>
    <xf numFmtId="0" fontId="0" fillId="21" borderId="0" xfId="0" applyFill="1" applyAlignment="1">
      <alignment horizontal="right"/>
    </xf>
    <xf numFmtId="0" fontId="0" fillId="22" borderId="0" xfId="0" applyFill="1" applyBorder="1" applyAlignment="1">
      <alignment horizontal="center"/>
    </xf>
    <xf numFmtId="2" fontId="0" fillId="22" borderId="0" xfId="0" applyNumberFormat="1" applyFill="1" applyBorder="1"/>
    <xf numFmtId="0" fontId="1" fillId="16" borderId="1" xfId="0" applyFont="1" applyFill="1" applyBorder="1"/>
    <xf numFmtId="164" fontId="3" fillId="16" borderId="0" xfId="0" applyNumberFormat="1" applyFont="1" applyFill="1" applyAlignment="1">
      <alignment horizontal="right"/>
    </xf>
    <xf numFmtId="0" fontId="3" fillId="16" borderId="0" xfId="0" applyFont="1" applyFill="1" applyBorder="1" applyAlignment="1">
      <alignment horizontal="center" vertical="center"/>
    </xf>
    <xf numFmtId="164" fontId="3" fillId="16" borderId="0" xfId="0" applyNumberFormat="1" applyFont="1" applyFill="1" applyBorder="1" applyAlignment="1">
      <alignment horizontal="center" vertical="center"/>
    </xf>
    <xf numFmtId="0" fontId="10" fillId="16" borderId="0" xfId="0" applyFont="1" applyFill="1" applyAlignment="1">
      <alignment horizontal="center"/>
    </xf>
    <xf numFmtId="2" fontId="3" fillId="16" borderId="0" xfId="0" applyNumberFormat="1" applyFont="1" applyFill="1" applyAlignment="1">
      <alignment horizontal="left"/>
    </xf>
    <xf numFmtId="2" fontId="3" fillId="16" borderId="9" xfId="0" applyNumberFormat="1" applyFont="1" applyFill="1" applyBorder="1" applyAlignment="1">
      <alignment horizontal="center"/>
    </xf>
    <xf numFmtId="164" fontId="3" fillId="16" borderId="0" xfId="0" applyNumberFormat="1" applyFont="1" applyFill="1" applyAlignment="1">
      <alignment horizontal="center" vertical="center"/>
    </xf>
    <xf numFmtId="164" fontId="0" fillId="16" borderId="0" xfId="0" applyNumberFormat="1" applyFill="1" applyAlignment="1">
      <alignment horizontal="center" vertical="center"/>
    </xf>
    <xf numFmtId="2" fontId="3" fillId="16" borderId="0" xfId="0" applyNumberFormat="1" applyFont="1" applyFill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10" xfId="0" applyFill="1" applyBorder="1"/>
    <xf numFmtId="0" fontId="3" fillId="16" borderId="12" xfId="0" applyFont="1" applyFill="1" applyBorder="1"/>
    <xf numFmtId="0" fontId="0" fillId="16" borderId="14" xfId="0" applyFill="1" applyBorder="1"/>
    <xf numFmtId="0" fontId="0" fillId="16" borderId="15" xfId="0" applyFill="1" applyBorder="1"/>
    <xf numFmtId="0" fontId="34" fillId="16" borderId="0" xfId="0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3" fillId="16" borderId="5" xfId="0" applyFont="1" applyFill="1" applyBorder="1"/>
    <xf numFmtId="0" fontId="3" fillId="16" borderId="8" xfId="0" applyFont="1" applyFill="1" applyBorder="1" applyAlignment="1">
      <alignment horizontal="center"/>
    </xf>
    <xf numFmtId="0" fontId="3" fillId="16" borderId="0" xfId="0" applyFont="1" applyFill="1" applyBorder="1"/>
    <xf numFmtId="0" fontId="32" fillId="16" borderId="0" xfId="0" applyFont="1" applyFill="1" applyBorder="1"/>
    <xf numFmtId="0" fontId="18" fillId="16" borderId="0" xfId="0" applyFont="1" applyFill="1" applyBorder="1"/>
    <xf numFmtId="0" fontId="10" fillId="16" borderId="2" xfId="0" applyFont="1" applyFill="1" applyBorder="1" applyAlignment="1">
      <alignment horizontal="center" vertical="center"/>
    </xf>
    <xf numFmtId="164" fontId="10" fillId="16" borderId="5" xfId="0" applyNumberFormat="1" applyFont="1" applyFill="1" applyBorder="1" applyAlignment="1">
      <alignment horizontal="center" vertical="center"/>
    </xf>
    <xf numFmtId="164" fontId="25" fillId="16" borderId="0" xfId="0" applyNumberFormat="1" applyFont="1" applyFill="1" applyBorder="1"/>
    <xf numFmtId="0" fontId="0" fillId="16" borderId="18" xfId="0" applyFill="1" applyBorder="1"/>
    <xf numFmtId="0" fontId="10" fillId="16" borderId="14" xfId="0" applyFont="1" applyFill="1" applyBorder="1"/>
    <xf numFmtId="0" fontId="10" fillId="16" borderId="0" xfId="0" applyFont="1" applyFill="1" applyBorder="1"/>
    <xf numFmtId="164" fontId="0" fillId="16" borderId="0" xfId="0" applyNumberFormat="1" applyFill="1" applyBorder="1"/>
    <xf numFmtId="0" fontId="10" fillId="16" borderId="1" xfId="0" applyFont="1" applyFill="1" applyBorder="1"/>
    <xf numFmtId="164" fontId="10" fillId="16" borderId="4" xfId="0" applyNumberFormat="1" applyFont="1" applyFill="1" applyBorder="1"/>
    <xf numFmtId="0" fontId="0" fillId="16" borderId="22" xfId="0" applyFill="1" applyBorder="1"/>
    <xf numFmtId="0" fontId="0" fillId="16" borderId="24" xfId="0" applyFill="1" applyBorder="1"/>
    <xf numFmtId="0" fontId="0" fillId="16" borderId="23" xfId="0" applyFill="1" applyBorder="1"/>
    <xf numFmtId="0" fontId="0" fillId="16" borderId="0" xfId="0" applyFont="1" applyFill="1" applyBorder="1"/>
    <xf numFmtId="164" fontId="0" fillId="16" borderId="0" xfId="0" applyNumberFormat="1" applyFill="1" applyBorder="1" applyAlignment="1">
      <alignment horizontal="center"/>
    </xf>
    <xf numFmtId="164" fontId="3" fillId="16" borderId="0" xfId="0" applyNumberFormat="1" applyFont="1" applyFill="1" applyBorder="1" applyAlignment="1">
      <alignment horizontal="center"/>
    </xf>
    <xf numFmtId="0" fontId="3" fillId="16" borderId="0" xfId="0" applyFont="1" applyFill="1" applyBorder="1" applyAlignment="1">
      <alignment horizontal="center"/>
    </xf>
    <xf numFmtId="2" fontId="0" fillId="16" borderId="0" xfId="0" applyNumberFormat="1" applyFill="1" applyBorder="1" applyAlignment="1">
      <alignment horizontal="center"/>
    </xf>
    <xf numFmtId="0" fontId="0" fillId="22" borderId="15" xfId="0" applyFill="1" applyBorder="1"/>
    <xf numFmtId="0" fontId="3" fillId="22" borderId="0" xfId="0" applyFont="1" applyFill="1" applyBorder="1"/>
    <xf numFmtId="0" fontId="3" fillId="22" borderId="15" xfId="0" applyFont="1" applyFill="1" applyBorder="1"/>
    <xf numFmtId="0" fontId="0" fillId="22" borderId="14" xfId="0" applyFill="1" applyBorder="1"/>
    <xf numFmtId="0" fontId="34" fillId="22" borderId="0" xfId="0" applyFont="1" applyFill="1" applyBorder="1" applyAlignment="1">
      <alignment horizontal="center"/>
    </xf>
    <xf numFmtId="0" fontId="0" fillId="22" borderId="18" xfId="0" applyFill="1" applyBorder="1"/>
    <xf numFmtId="0" fontId="1" fillId="23" borderId="1" xfId="0" applyFont="1" applyFill="1" applyBorder="1"/>
    <xf numFmtId="0" fontId="1" fillId="23" borderId="2" xfId="0" applyFont="1" applyFill="1" applyBorder="1"/>
    <xf numFmtId="0" fontId="1" fillId="23" borderId="6" xfId="0" applyFont="1" applyFill="1" applyBorder="1"/>
    <xf numFmtId="0" fontId="22" fillId="23" borderId="3" xfId="0" applyFont="1" applyFill="1" applyBorder="1" applyAlignment="1">
      <alignment horizontal="center"/>
    </xf>
    <xf numFmtId="2" fontId="22" fillId="23" borderId="5" xfId="0" applyNumberFormat="1" applyFont="1" applyFill="1" applyBorder="1" applyAlignment="1">
      <alignment horizontal="center"/>
    </xf>
    <xf numFmtId="0" fontId="22" fillId="23" borderId="0" xfId="0" applyFont="1" applyFill="1" applyBorder="1" applyAlignment="1">
      <alignment horizontal="center"/>
    </xf>
    <xf numFmtId="2" fontId="22" fillId="23" borderId="7" xfId="0" applyNumberFormat="1" applyFont="1" applyFill="1" applyBorder="1" applyAlignment="1">
      <alignment horizontal="center"/>
    </xf>
    <xf numFmtId="0" fontId="22" fillId="23" borderId="4" xfId="0" applyFont="1" applyFill="1" applyBorder="1" applyAlignment="1">
      <alignment horizontal="center"/>
    </xf>
    <xf numFmtId="0" fontId="22" fillId="23" borderId="5" xfId="0" applyFont="1" applyFill="1" applyBorder="1" applyAlignment="1">
      <alignment horizontal="center"/>
    </xf>
    <xf numFmtId="0" fontId="22" fillId="23" borderId="8" xfId="0" applyFont="1" applyFill="1" applyBorder="1" applyAlignment="1">
      <alignment horizontal="center"/>
    </xf>
    <xf numFmtId="0" fontId="23" fillId="22" borderId="2" xfId="0" applyFont="1" applyFill="1" applyBorder="1" applyAlignment="1">
      <alignment horizontal="center" vertical="center"/>
    </xf>
    <xf numFmtId="0" fontId="27" fillId="22" borderId="5" xfId="0" applyFont="1" applyFill="1" applyBorder="1" applyAlignment="1">
      <alignment horizontal="center" vertical="center" wrapText="1"/>
    </xf>
    <xf numFmtId="0" fontId="23" fillId="22" borderId="0" xfId="0" applyFont="1" applyFill="1" applyBorder="1" applyAlignment="1">
      <alignment horizontal="center"/>
    </xf>
    <xf numFmtId="0" fontId="23" fillId="22" borderId="0" xfId="0" applyFont="1" applyFill="1" applyBorder="1"/>
    <xf numFmtId="0" fontId="10" fillId="22" borderId="1" xfId="0" applyFont="1" applyFill="1" applyBorder="1"/>
    <xf numFmtId="164" fontId="10" fillId="22" borderId="4" xfId="0" applyNumberFormat="1" applyFont="1" applyFill="1" applyBorder="1"/>
    <xf numFmtId="0" fontId="3" fillId="16" borderId="12" xfId="0" applyFont="1" applyFill="1" applyBorder="1" applyAlignment="1">
      <alignment vertical="center"/>
    </xf>
    <xf numFmtId="2" fontId="0" fillId="16" borderId="8" xfId="0" applyNumberFormat="1" applyFill="1" applyBorder="1"/>
    <xf numFmtId="0" fontId="37" fillId="20" borderId="22" xfId="0" applyFont="1" applyFill="1" applyBorder="1" applyAlignment="1">
      <alignment horizontal="center"/>
    </xf>
    <xf numFmtId="2" fontId="32" fillId="20" borderId="24" xfId="0" applyNumberFormat="1" applyFont="1" applyFill="1" applyBorder="1"/>
    <xf numFmtId="0" fontId="32" fillId="20" borderId="24" xfId="0" applyFont="1" applyFill="1" applyBorder="1"/>
    <xf numFmtId="0" fontId="32" fillId="20" borderId="23" xfId="0" applyFont="1" applyFill="1" applyBorder="1" applyAlignment="1">
      <alignment horizontal="center"/>
    </xf>
    <xf numFmtId="0" fontId="14" fillId="16" borderId="5" xfId="0" applyFont="1" applyFill="1" applyBorder="1" applyAlignment="1">
      <alignment horizontal="center"/>
    </xf>
    <xf numFmtId="0" fontId="13" fillId="16" borderId="5" xfId="0" applyFont="1" applyFill="1" applyBorder="1" applyAlignment="1">
      <alignment horizontal="center"/>
    </xf>
    <xf numFmtId="2" fontId="3" fillId="16" borderId="0" xfId="0" applyNumberFormat="1" applyFont="1" applyFill="1" applyAlignment="1">
      <alignment horizontal="center" vertical="center"/>
    </xf>
    <xf numFmtId="0" fontId="23" fillId="22" borderId="0" xfId="0" applyFont="1" applyFill="1"/>
    <xf numFmtId="0" fontId="38" fillId="15" borderId="0" xfId="0" applyFont="1" applyFill="1" applyAlignment="1">
      <alignment horizontal="center"/>
    </xf>
    <xf numFmtId="0" fontId="39" fillId="15" borderId="0" xfId="0" applyFont="1" applyFill="1" applyAlignment="1">
      <alignment horizontal="center"/>
    </xf>
    <xf numFmtId="0" fontId="16" fillId="16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2" fontId="17" fillId="24" borderId="0" xfId="0" applyNumberFormat="1" applyFont="1" applyFill="1" applyAlignment="1">
      <alignment horizontal="center"/>
    </xf>
    <xf numFmtId="0" fontId="16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2" fontId="17" fillId="24" borderId="0" xfId="0" applyNumberFormat="1" applyFont="1" applyFill="1" applyAlignment="1">
      <alignment horizontal="center" vertical="center"/>
    </xf>
    <xf numFmtId="0" fontId="20" fillId="22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8" fillId="16" borderId="0" xfId="0" applyFont="1" applyFill="1" applyBorder="1" applyAlignment="1">
      <alignment horizontal="center"/>
    </xf>
    <xf numFmtId="0" fontId="20" fillId="16" borderId="0" xfId="0" applyFont="1" applyFill="1" applyBorder="1" applyAlignment="1">
      <alignment horizontal="right"/>
    </xf>
    <xf numFmtId="0" fontId="20" fillId="16" borderId="0" xfId="0" applyFont="1" applyFill="1" applyAlignment="1">
      <alignment horizontal="center"/>
    </xf>
    <xf numFmtId="0" fontId="18" fillId="16" borderId="0" xfId="0" applyFont="1" applyFill="1"/>
    <xf numFmtId="0" fontId="18" fillId="16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5" fillId="15" borderId="0" xfId="0" applyFont="1" applyFill="1" applyBorder="1" applyAlignment="1">
      <alignment horizontal="center"/>
    </xf>
    <xf numFmtId="0" fontId="40" fillId="15" borderId="0" xfId="0" applyFont="1" applyFill="1" applyBorder="1" applyAlignment="1">
      <alignment horizontal="center"/>
    </xf>
    <xf numFmtId="0" fontId="41" fillId="16" borderId="14" xfId="0" applyFont="1" applyFill="1" applyBorder="1"/>
    <xf numFmtId="0" fontId="41" fillId="16" borderId="0" xfId="0" applyFont="1" applyFill="1" applyBorder="1"/>
    <xf numFmtId="0" fontId="23" fillId="22" borderId="25" xfId="0" applyFont="1" applyFill="1" applyBorder="1" applyAlignment="1">
      <alignment horizontal="center" vertical="center"/>
    </xf>
    <xf numFmtId="0" fontId="27" fillId="22" borderId="26" xfId="0" applyFont="1" applyFill="1" applyBorder="1" applyAlignment="1">
      <alignment horizontal="center" vertical="center" wrapText="1"/>
    </xf>
    <xf numFmtId="0" fontId="10" fillId="16" borderId="25" xfId="0" applyFont="1" applyFill="1" applyBorder="1" applyAlignment="1">
      <alignment horizontal="center" vertical="center"/>
    </xf>
    <xf numFmtId="164" fontId="10" fillId="16" borderId="26" xfId="0" applyNumberFormat="1" applyFont="1" applyFill="1" applyBorder="1" applyAlignment="1">
      <alignment horizontal="center" vertical="center"/>
    </xf>
    <xf numFmtId="164" fontId="25" fillId="16" borderId="0" xfId="0" applyNumberFormat="1" applyFont="1" applyFill="1" applyBorder="1" applyAlignment="1">
      <alignment horizontal="center"/>
    </xf>
    <xf numFmtId="0" fontId="20" fillId="16" borderId="0" xfId="0" applyFont="1" applyFill="1" applyBorder="1"/>
    <xf numFmtId="0" fontId="35" fillId="16" borderId="0" xfId="0" applyFont="1" applyFill="1" applyBorder="1" applyAlignment="1">
      <alignment horizontal="center"/>
    </xf>
    <xf numFmtId="2" fontId="13" fillId="16" borderId="5" xfId="0" applyNumberFormat="1" applyFont="1" applyFill="1" applyBorder="1" applyAlignment="1">
      <alignment horizontal="center"/>
    </xf>
    <xf numFmtId="0" fontId="42" fillId="22" borderId="0" xfId="0" applyFont="1" applyFill="1" applyBorder="1"/>
    <xf numFmtId="164" fontId="10" fillId="16" borderId="0" xfId="0" applyNumberFormat="1" applyFont="1" applyFill="1" applyBorder="1"/>
    <xf numFmtId="0" fontId="10" fillId="16" borderId="25" xfId="0" applyFont="1" applyFill="1" applyBorder="1"/>
    <xf numFmtId="164" fontId="10" fillId="16" borderId="26" xfId="0" applyNumberFormat="1" applyFont="1" applyFill="1" applyBorder="1"/>
    <xf numFmtId="164" fontId="0" fillId="22" borderId="25" xfId="0" applyNumberFormat="1" applyFill="1" applyBorder="1"/>
    <xf numFmtId="0" fontId="10" fillId="16" borderId="27" xfId="0" applyFont="1" applyFill="1" applyBorder="1"/>
    <xf numFmtId="164" fontId="10" fillId="16" borderId="27" xfId="0" applyNumberFormat="1" applyFont="1" applyFill="1" applyBorder="1"/>
    <xf numFmtId="164" fontId="0" fillId="22" borderId="26" xfId="0" applyNumberFormat="1" applyFill="1" applyBorder="1"/>
    <xf numFmtId="164" fontId="0" fillId="22" borderId="2" xfId="0" applyNumberFormat="1" applyFill="1" applyBorder="1"/>
    <xf numFmtId="164" fontId="0" fillId="22" borderId="5" xfId="0" applyNumberFormat="1" applyFill="1" applyBorder="1"/>
    <xf numFmtId="0" fontId="0" fillId="16" borderId="0" xfId="0" applyFill="1" applyBorder="1" applyAlignment="1">
      <alignment vertical="center"/>
    </xf>
    <xf numFmtId="0" fontId="3" fillId="16" borderId="4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vertical="center"/>
    </xf>
    <xf numFmtId="0" fontId="3" fillId="16" borderId="8" xfId="0" applyFont="1" applyFill="1" applyBorder="1" applyAlignment="1">
      <alignment horizontal="center" vertical="center"/>
    </xf>
    <xf numFmtId="0" fontId="27" fillId="22" borderId="2" xfId="0" applyFont="1" applyFill="1" applyBorder="1" applyAlignment="1">
      <alignment horizontal="center" vertical="center" wrapText="1"/>
    </xf>
    <xf numFmtId="0" fontId="27" fillId="22" borderId="6" xfId="0" applyFont="1" applyFill="1" applyBorder="1" applyAlignment="1">
      <alignment horizontal="center" vertical="center" wrapText="1"/>
    </xf>
    <xf numFmtId="0" fontId="27" fillId="22" borderId="8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/>
    </xf>
    <xf numFmtId="0" fontId="1" fillId="15" borderId="5" xfId="0" applyFont="1" applyFill="1" applyBorder="1" applyAlignment="1">
      <alignment horizontal="center"/>
    </xf>
    <xf numFmtId="0" fontId="0" fillId="22" borderId="2" xfId="0" applyFill="1" applyBorder="1"/>
    <xf numFmtId="0" fontId="0" fillId="22" borderId="6" xfId="0" applyFill="1" applyBorder="1"/>
    <xf numFmtId="0" fontId="0" fillId="22" borderId="8" xfId="0" applyFill="1" applyBorder="1"/>
    <xf numFmtId="0" fontId="10" fillId="22" borderId="0" xfId="0" applyFont="1" applyFill="1" applyAlignment="1">
      <alignment horizontal="right"/>
    </xf>
    <xf numFmtId="0" fontId="12" fillId="0" borderId="0" xfId="0" applyFont="1" applyFill="1"/>
    <xf numFmtId="0" fontId="31" fillId="0" borderId="0" xfId="0" applyFont="1" applyFill="1"/>
    <xf numFmtId="0" fontId="31" fillId="22" borderId="0" xfId="0" applyFont="1" applyFill="1"/>
    <xf numFmtId="0" fontId="43" fillId="16" borderId="0" xfId="0" applyFont="1" applyFill="1" applyBorder="1"/>
    <xf numFmtId="0" fontId="25" fillId="16" borderId="0" xfId="0" applyFont="1" applyFill="1" applyBorder="1"/>
    <xf numFmtId="0" fontId="1" fillId="2" borderId="0" xfId="0" applyFont="1" applyFill="1"/>
    <xf numFmtId="0" fontId="1" fillId="9" borderId="2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9" borderId="0" xfId="0" applyFont="1" applyFill="1" applyBorder="1" applyAlignment="1">
      <alignment horizontal="center"/>
    </xf>
    <xf numFmtId="0" fontId="1" fillId="9" borderId="7" xfId="0" applyFont="1" applyFill="1" applyBorder="1"/>
    <xf numFmtId="0" fontId="1" fillId="16" borderId="3" xfId="0" applyFont="1" applyFill="1" applyBorder="1" applyAlignment="1">
      <alignment horizontal="right"/>
    </xf>
    <xf numFmtId="0" fontId="1" fillId="16" borderId="0" xfId="0" applyFont="1" applyFill="1" applyBorder="1" applyAlignment="1">
      <alignment horizontal="center"/>
    </xf>
    <xf numFmtId="0" fontId="1" fillId="16" borderId="0" xfId="0" applyFont="1" applyFill="1" applyBorder="1"/>
    <xf numFmtId="0" fontId="1" fillId="16" borderId="0" xfId="0" applyFont="1" applyFill="1" applyBorder="1" applyAlignment="1">
      <alignment horizontal="right"/>
    </xf>
    <xf numFmtId="0" fontId="1" fillId="16" borderId="7" xfId="0" applyFont="1" applyFill="1" applyBorder="1"/>
    <xf numFmtId="0" fontId="1" fillId="9" borderId="3" xfId="0" applyFont="1" applyFill="1" applyBorder="1"/>
    <xf numFmtId="0" fontId="1" fillId="16" borderId="4" xfId="0" applyFont="1" applyFill="1" applyBorder="1" applyAlignment="1">
      <alignment horizontal="right"/>
    </xf>
    <xf numFmtId="0" fontId="1" fillId="16" borderId="5" xfId="0" applyFont="1" applyFill="1" applyBorder="1" applyAlignment="1">
      <alignment horizontal="center"/>
    </xf>
    <xf numFmtId="0" fontId="1" fillId="16" borderId="5" xfId="0" applyFont="1" applyFill="1" applyBorder="1"/>
    <xf numFmtId="0" fontId="1" fillId="16" borderId="5" xfId="0" applyFont="1" applyFill="1" applyBorder="1" applyAlignment="1">
      <alignment horizontal="right"/>
    </xf>
    <xf numFmtId="0" fontId="1" fillId="16" borderId="8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9" borderId="5" xfId="0" applyFont="1" applyFill="1" applyBorder="1" applyAlignment="1">
      <alignment horizontal="center"/>
    </xf>
    <xf numFmtId="0" fontId="1" fillId="9" borderId="8" xfId="0" applyFont="1" applyFill="1" applyBorder="1"/>
    <xf numFmtId="0" fontId="1" fillId="16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2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21" borderId="4" xfId="0" applyFont="1" applyFill="1" applyBorder="1" applyAlignment="1">
      <alignment horizontal="right"/>
    </xf>
    <xf numFmtId="0" fontId="1" fillId="21" borderId="5" xfId="0" applyFont="1" applyFill="1" applyBorder="1" applyAlignment="1">
      <alignment horizontal="center"/>
    </xf>
    <xf numFmtId="0" fontId="1" fillId="21" borderId="5" xfId="0" applyFont="1" applyFill="1" applyBorder="1"/>
    <xf numFmtId="0" fontId="1" fillId="21" borderId="5" xfId="0" applyFont="1" applyFill="1" applyBorder="1" applyAlignment="1">
      <alignment horizontal="right"/>
    </xf>
    <xf numFmtId="0" fontId="1" fillId="21" borderId="8" xfId="0" applyFont="1" applyFill="1" applyBorder="1"/>
    <xf numFmtId="0" fontId="1" fillId="21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22" borderId="0" xfId="0" applyFont="1" applyFill="1" applyBorder="1"/>
    <xf numFmtId="0" fontId="2" fillId="16" borderId="4" xfId="0" applyFont="1" applyFill="1" applyBorder="1" applyAlignment="1">
      <alignment horizontal="right"/>
    </xf>
    <xf numFmtId="2" fontId="2" fillId="16" borderId="5" xfId="0" applyNumberFormat="1" applyFont="1" applyFill="1" applyBorder="1"/>
    <xf numFmtId="2" fontId="2" fillId="16" borderId="5" xfId="0" applyNumberFormat="1" applyFont="1" applyFill="1" applyBorder="1" applyAlignment="1">
      <alignment horizontal="right"/>
    </xf>
    <xf numFmtId="2" fontId="1" fillId="16" borderId="5" xfId="0" applyNumberFormat="1" applyFont="1" applyFill="1" applyBorder="1"/>
    <xf numFmtId="0" fontId="2" fillId="16" borderId="5" xfId="0" applyFont="1" applyFill="1" applyBorder="1"/>
    <xf numFmtId="0" fontId="2" fillId="16" borderId="5" xfId="0" applyFont="1" applyFill="1" applyBorder="1" applyAlignment="1">
      <alignment horizontal="right"/>
    </xf>
    <xf numFmtId="164" fontId="1" fillId="16" borderId="0" xfId="0" applyNumberFormat="1" applyFont="1" applyFill="1"/>
    <xf numFmtId="0" fontId="2" fillId="16" borderId="0" xfId="0" applyFont="1" applyFill="1" applyAlignment="1">
      <alignment horizontal="right"/>
    </xf>
    <xf numFmtId="164" fontId="2" fillId="16" borderId="0" xfId="0" applyNumberFormat="1" applyFont="1" applyFill="1"/>
    <xf numFmtId="164" fontId="2" fillId="16" borderId="0" xfId="0" applyNumberFormat="1" applyFont="1" applyFill="1" applyAlignment="1">
      <alignment horizontal="right"/>
    </xf>
    <xf numFmtId="0" fontId="2" fillId="16" borderId="0" xfId="0" applyFont="1" applyFill="1" applyBorder="1" applyAlignment="1">
      <alignment horizontal="center" vertical="center"/>
    </xf>
    <xf numFmtId="164" fontId="2" fillId="16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0" borderId="0" xfId="0" applyFont="1" applyAlignment="1">
      <alignment horizontal="center"/>
    </xf>
    <xf numFmtId="0" fontId="2" fillId="16" borderId="0" xfId="0" applyFont="1" applyFill="1" applyAlignment="1">
      <alignment horizontal="center" vertical="center"/>
    </xf>
    <xf numFmtId="164" fontId="2" fillId="16" borderId="0" xfId="0" applyNumberFormat="1" applyFont="1" applyFill="1" applyAlignment="1">
      <alignment horizontal="center" vertical="center"/>
    </xf>
    <xf numFmtId="0" fontId="2" fillId="16" borderId="0" xfId="0" applyFont="1" applyFill="1"/>
    <xf numFmtId="0" fontId="2" fillId="16" borderId="0" xfId="0" applyFont="1" applyFill="1" applyBorder="1" applyAlignment="1">
      <alignment horizontal="right"/>
    </xf>
    <xf numFmtId="0" fontId="2" fillId="16" borderId="0" xfId="0" applyFont="1" applyFill="1" applyBorder="1"/>
    <xf numFmtId="0" fontId="1" fillId="16" borderId="1" xfId="0" applyFont="1" applyFill="1" applyBorder="1" applyAlignment="1">
      <alignment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/>
    </xf>
    <xf numFmtId="0" fontId="1" fillId="16" borderId="14" xfId="0" applyFont="1" applyFill="1" applyBorder="1"/>
    <xf numFmtId="0" fontId="1" fillId="16" borderId="6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  <xf numFmtId="164" fontId="1" fillId="16" borderId="0" xfId="0" applyNumberFormat="1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6" borderId="0" xfId="0" applyFont="1" applyFill="1" applyAlignment="1">
      <alignment horizontal="center" vertical="center"/>
    </xf>
    <xf numFmtId="0" fontId="1" fillId="11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right"/>
    </xf>
    <xf numFmtId="0" fontId="1" fillId="14" borderId="0" xfId="0" applyFont="1" applyFill="1"/>
    <xf numFmtId="0" fontId="1" fillId="19" borderId="0" xfId="0" applyFont="1" applyFill="1"/>
    <xf numFmtId="0" fontId="1" fillId="12" borderId="0" xfId="0" applyFont="1" applyFill="1"/>
    <xf numFmtId="0" fontId="2" fillId="0" borderId="0" xfId="0" applyFont="1"/>
    <xf numFmtId="0" fontId="1" fillId="0" borderId="0" xfId="0" applyFont="1" applyAlignment="1"/>
    <xf numFmtId="0" fontId="1" fillId="22" borderId="0" xfId="0" applyFont="1" applyFill="1"/>
    <xf numFmtId="0" fontId="1" fillId="0" borderId="0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" fontId="1" fillId="25" borderId="0" xfId="0" applyNumberFormat="1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3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9" fillId="16" borderId="0" xfId="0" applyFont="1" applyFill="1"/>
    <xf numFmtId="0" fontId="1" fillId="11" borderId="0" xfId="0" applyFont="1" applyFill="1" applyAlignment="1">
      <alignment wrapText="1"/>
    </xf>
    <xf numFmtId="0" fontId="32" fillId="13" borderId="0" xfId="0" applyFont="1" applyFill="1" applyAlignment="1">
      <alignment wrapText="1"/>
    </xf>
    <xf numFmtId="0" fontId="3" fillId="16" borderId="0" xfId="0" applyFont="1" applyFill="1" applyAlignment="1">
      <alignment horizontal="center"/>
    </xf>
    <xf numFmtId="0" fontId="3" fillId="16" borderId="0" xfId="0" applyFont="1" applyFill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25" fillId="0" borderId="0" xfId="0" applyFont="1"/>
    <xf numFmtId="0" fontId="44" fillId="16" borderId="0" xfId="0" applyFont="1" applyFill="1" applyAlignment="1">
      <alignment horizontal="left"/>
    </xf>
    <xf numFmtId="0" fontId="25" fillId="16" borderId="0" xfId="0" applyFont="1" applyFill="1"/>
    <xf numFmtId="0" fontId="31" fillId="16" borderId="0" xfId="0" applyFont="1" applyFill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Demand function
</a:t>
            </a:r>
          </a:p>
        </c:rich>
      </c:tx>
      <c:layout>
        <c:manualLayout>
          <c:xMode val="edge"/>
          <c:yMode val="edge"/>
          <c:x val="0.40000096762098347"/>
          <c:y val="3.51904465550053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3740083925355"/>
          <c:y val="0.17888563049853373"/>
          <c:w val="0.50303129543737268"/>
          <c:h val="0.63636363636364179"/>
        </c:manualLayout>
      </c:layout>
      <c:scatterChart>
        <c:scatterStyle val="lineMarker"/>
        <c:ser>
          <c:idx val="0"/>
          <c:order val="0"/>
          <c:tx>
            <c:v>funkcja popytu D1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'1DemSup'!$D$10:$H$10</c:f>
              <c:numCache>
                <c:formatCode>General</c:formatCode>
                <c:ptCount val="5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xVal>
          <c:yVal>
            <c:numRef>
              <c:f>'1DemSup'!$D$8:$H$8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1B8A-4B2E-A095-63EE2C489251}"/>
            </c:ext>
          </c:extLst>
        </c:ser>
        <c:ser>
          <c:idx val="1"/>
          <c:order val="1"/>
          <c:tx>
            <c:v>funkcja popytu D2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</c:trendline>
          <c:xVal>
            <c:numRef>
              <c:f>'1DemSup'!$D$11:$H$11</c:f>
              <c:numCache>
                <c:formatCode>General</c:formatCode>
                <c:ptCount val="5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xVal>
          <c:yVal>
            <c:numRef>
              <c:f>'1DemSup'!$D$9:$H$9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1B8A-4B2E-A095-63EE2C489251}"/>
            </c:ext>
          </c:extLst>
        </c:ser>
        <c:axId val="84914944"/>
        <c:axId val="84916864"/>
      </c:scatterChart>
      <c:valAx>
        <c:axId val="84914944"/>
        <c:scaling>
          <c:orientation val="minMax"/>
        </c:scaling>
        <c:axPos val="b"/>
        <c:majorGridlines>
          <c:spPr>
            <a:ln>
              <a:solidFill>
                <a:srgbClr val="000000">
                  <a:alpha val="30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800" b="0" i="0" u="none" strike="noStrike" baseline="0">
                    <a:effectLst/>
                  </a:rPr>
                  <a:t>quantity</a:t>
                </a:r>
                <a:r>
                  <a:rPr lang="en-US"/>
                  <a:t> Q
</a:t>
                </a:r>
              </a:p>
            </c:rich>
          </c:tx>
          <c:layout>
            <c:manualLayout>
              <c:xMode val="edge"/>
              <c:yMode val="edge"/>
              <c:x val="0.35757635134317933"/>
              <c:y val="0.894428299555339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916864"/>
        <c:crosses val="autoZero"/>
        <c:crossBetween val="midCat"/>
      </c:valAx>
      <c:valAx>
        <c:axId val="84916864"/>
        <c:scaling>
          <c:orientation val="minMax"/>
        </c:scaling>
        <c:axPos val="l"/>
        <c:majorGridlines>
          <c:spPr>
            <a:ln w="9525">
              <a:solidFill>
                <a:srgbClr val="000000">
                  <a:alpha val="30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 P</a:t>
                </a:r>
              </a:p>
            </c:rich>
          </c:tx>
          <c:layout>
            <c:manualLayout>
              <c:xMode val="edge"/>
              <c:yMode val="edge"/>
              <c:x val="3.8383831053376401E-2"/>
              <c:y val="0.45161277520722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9149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488" r="0.7500000000000048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Supply function
</a:t>
            </a:r>
          </a:p>
        </c:rich>
      </c:tx>
      <c:layout>
        <c:manualLayout>
          <c:xMode val="edge"/>
          <c:yMode val="edge"/>
          <c:x val="0.39511202730560041"/>
          <c:y val="3.51904465550053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849287169042926"/>
          <c:y val="0.17888563049853373"/>
          <c:w val="0.49898167006110217"/>
          <c:h val="0.63636363636364179"/>
        </c:manualLayout>
      </c:layout>
      <c:scatterChart>
        <c:scatterStyle val="lineMarker"/>
        <c:ser>
          <c:idx val="0"/>
          <c:order val="0"/>
          <c:tx>
            <c:v>supply function S1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'1DemSup'!$L$10:$P$10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'1DemSup'!$L$8:$P$8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250E-4BFF-A115-45C0EA4519EC}"/>
            </c:ext>
          </c:extLst>
        </c:ser>
        <c:ser>
          <c:idx val="1"/>
          <c:order val="1"/>
          <c:tx>
            <c:v>supply function S2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99CC00"/>
                </a:solidFill>
                <a:prstDash val="solid"/>
              </a:ln>
            </c:spPr>
            <c:trendlineType val="linear"/>
          </c:trendline>
          <c:xVal>
            <c:numRef>
              <c:f>'1DemSup'!$L$11:$P$11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'1DemSup'!$L$9:$P$9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250E-4BFF-A115-45C0EA4519EC}"/>
            </c:ext>
          </c:extLst>
        </c:ser>
        <c:axId val="85353984"/>
        <c:axId val="85355904"/>
      </c:scatterChart>
      <c:valAx>
        <c:axId val="85353984"/>
        <c:scaling>
          <c:orientation val="minMax"/>
        </c:scaling>
        <c:axPos val="b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800" b="0" i="0" u="none" strike="noStrike" baseline="0">
                    <a:effectLst/>
                  </a:rPr>
                  <a:t>quantity</a:t>
                </a:r>
                <a:r>
                  <a:rPr lang="en-US"/>
                  <a:t> Q
</a:t>
                </a:r>
              </a:p>
            </c:rich>
          </c:tx>
          <c:layout>
            <c:manualLayout>
              <c:xMode val="edge"/>
              <c:yMode val="edge"/>
              <c:x val="0.35641557680826436"/>
              <c:y val="0.894428299555339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355904"/>
        <c:crosses val="autoZero"/>
        <c:crossBetween val="midCat"/>
      </c:valAx>
      <c:valAx>
        <c:axId val="85355904"/>
        <c:scaling>
          <c:orientation val="minMax"/>
        </c:scaling>
        <c:axPos val="l"/>
        <c:majorGridlines>
          <c:spPr>
            <a:ln w="9525">
              <a:solidFill>
                <a:srgbClr val="000000">
                  <a:alpha val="30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 P</a:t>
                </a:r>
              </a:p>
            </c:rich>
          </c:tx>
          <c:layout>
            <c:manualLayout>
              <c:xMode val="edge"/>
              <c:yMode val="edge"/>
              <c:x val="3.8696675791062597E-2"/>
              <c:y val="0.45161277520722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353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488" r="0.7500000000000048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8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ysClr val="windowText" lastClr="000000"/>
                </a:solidFill>
              </a:rPr>
              <a:t>Demand and supply function
</a:t>
            </a:r>
          </a:p>
        </c:rich>
      </c:tx>
      <c:layout>
        <c:manualLayout>
          <c:xMode val="edge"/>
          <c:yMode val="edge"/>
          <c:x val="0.3407261592300963"/>
          <c:y val="3.5087776657675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306464712292931"/>
          <c:y val="0.1695911275331447"/>
          <c:w val="0.60887156713824575"/>
          <c:h val="0.65204864551537389"/>
        </c:manualLayout>
      </c:layout>
      <c:scatterChart>
        <c:scatterStyle val="lineMarker"/>
        <c:ser>
          <c:idx val="0"/>
          <c:order val="0"/>
          <c:tx>
            <c:v>demand D1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6">
                  <a:shade val="58000"/>
                </a:schemeClr>
              </a:solidFill>
              <a:ln w="9525" cap="flat" cmpd="sng" algn="ctr">
                <a:solidFill>
                  <a:schemeClr val="accent6">
                    <a:shade val="58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B-4589-8635-D21A700D72AA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'1DemSup'!$D$10:$H$10</c:f>
              <c:numCache>
                <c:formatCode>General</c:formatCode>
                <c:ptCount val="5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xVal>
          <c:yVal>
            <c:numRef>
              <c:f>'1DemSup'!$D$8:$H$8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307B-4589-8635-D21A700D72AA}"/>
            </c:ext>
          </c:extLst>
        </c:ser>
        <c:ser>
          <c:idx val="1"/>
          <c:order val="1"/>
          <c:tx>
            <c:v> demand D2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6">
                  <a:shade val="86000"/>
                </a:schemeClr>
              </a:solidFill>
              <a:ln w="9525" cap="flat" cmpd="sng" algn="ctr">
                <a:solidFill>
                  <a:schemeClr val="accent6">
                    <a:shade val="8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4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7B-4589-8635-D21A700D72AA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</c:trendline>
          <c:xVal>
            <c:numRef>
              <c:f>'1DemSup'!$D$11:$H$11</c:f>
              <c:numCache>
                <c:formatCode>General</c:formatCode>
                <c:ptCount val="5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xVal>
          <c:yVal>
            <c:numRef>
              <c:f>'1DemSup'!$D$9:$H$9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307B-4589-8635-D21A700D72AA}"/>
            </c:ext>
          </c:extLst>
        </c:ser>
        <c:ser>
          <c:idx val="2"/>
          <c:order val="2"/>
          <c:tx>
            <c:v>supply S1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accent6">
                  <a:tint val="86000"/>
                </a:schemeClr>
              </a:solidFill>
              <a:ln w="9525" cap="flat" cmpd="sng" algn="ctr">
                <a:solidFill>
                  <a:schemeClr val="accent6">
                    <a:tint val="8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B-4589-8635-D21A700D72AA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'1DemSup'!$L$10:$P$10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'1DemSup'!$L$8:$P$8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307B-4589-8635-D21A700D72AA}"/>
            </c:ext>
          </c:extLst>
        </c:ser>
        <c:ser>
          <c:idx val="3"/>
          <c:order val="3"/>
          <c:tx>
            <c:v> supply S2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chemeClr val="accent6">
                    <a:tint val="58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4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7B-4589-8635-D21A700D72AA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99CC00"/>
                </a:solidFill>
                <a:prstDash val="solid"/>
              </a:ln>
            </c:spPr>
            <c:trendlineType val="linear"/>
          </c:trendline>
          <c:xVal>
            <c:numRef>
              <c:f>'1DemSup'!$L$11:$P$11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'1DemSup'!$L$9:$P$9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307B-4589-8635-D21A700D72AA}"/>
            </c:ext>
          </c:extLst>
        </c:ser>
        <c:axId val="85425536"/>
        <c:axId val="85444096"/>
      </c:scatterChart>
      <c:valAx>
        <c:axId val="8542553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800" b="0" i="0" u="none" strike="noStrike" baseline="0">
                    <a:effectLst/>
                  </a:rPr>
                  <a:t>quantity</a:t>
                </a:r>
                <a:r>
                  <a:rPr lang="en-US">
                    <a:solidFill>
                      <a:sysClr val="windowText" lastClr="000000"/>
                    </a:solidFill>
                  </a:rPr>
                  <a:t> Q
</a:t>
                </a:r>
              </a:p>
            </c:rich>
          </c:tx>
          <c:layout>
            <c:manualLayout>
              <c:xMode val="edge"/>
              <c:yMode val="edge"/>
              <c:x val="0.40725843297365638"/>
              <c:y val="0.90058723628404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444096"/>
        <c:crosses val="autoZero"/>
        <c:crossBetween val="midCat"/>
      </c:valAx>
      <c:valAx>
        <c:axId val="85444096"/>
        <c:scaling>
          <c:orientation val="minMax"/>
        </c:scaling>
        <c:axPos val="l"/>
        <c:majorGridlines>
          <c:spPr>
            <a:ln w="9525" cap="flat" cmpd="sng" algn="ctr">
              <a:solidFill>
                <a:srgbClr val="000000">
                  <a:alpha val="29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price P
</a:t>
                </a:r>
              </a:p>
            </c:rich>
          </c:tx>
          <c:layout>
            <c:manualLayout>
              <c:xMode val="edge"/>
              <c:yMode val="edge"/>
              <c:x val="3.4274083795081171E-2"/>
              <c:y val="0.450293436503827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4255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FFFF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488" r="0.75000000000000488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Demand and supply function</a:t>
            </a:r>
          </a:p>
        </c:rich>
      </c:tx>
      <c:layout>
        <c:manualLayout>
          <c:xMode val="edge"/>
          <c:yMode val="edge"/>
          <c:x val="0.3407262414345858"/>
          <c:y val="3.508794312103399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949144669357322"/>
          <c:y val="0.1695911275331447"/>
          <c:w val="0.50244486429752988"/>
          <c:h val="0.63216793725833975"/>
        </c:manualLayout>
      </c:layout>
      <c:scatterChart>
        <c:scatterStyle val="lineMarker"/>
        <c:ser>
          <c:idx val="0"/>
          <c:order val="0"/>
          <c:tx>
            <c:v>demand D1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F9-4E03-B073-E784F90CB30B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7787943561507938"/>
                  <c:y val="-0.50704466116685709"/>
                </c:manualLayout>
              </c:layout>
              <c:numFmt formatCode="General" sourceLinked="0"/>
            </c:trendlineLbl>
          </c:trendline>
          <c:xVal>
            <c:numRef>
              <c:f>'1DemSup'!$V$10:$Z$10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xVal>
          <c:yVal>
            <c:numRef>
              <c:f>'1DemSup'!$V$8:$Z$8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AAF9-4E03-B073-E784F90CB30B}"/>
            </c:ext>
          </c:extLst>
        </c:ser>
        <c:ser>
          <c:idx val="1"/>
          <c:order val="1"/>
          <c:tx>
            <c:v> demand D2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F9-4E03-B073-E784F90CB30B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611208849648089"/>
                  <c:y val="-0.45421298977787311"/>
                </c:manualLayout>
              </c:layout>
              <c:numFmt formatCode="General" sourceLinked="0"/>
            </c:trendlineLbl>
          </c:trendline>
          <c:xVal>
            <c:numRef>
              <c:f>'1DemSup'!$V$11:$Z$11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</c:numCache>
            </c:numRef>
          </c:xVal>
          <c:yVal>
            <c:numRef>
              <c:f>'1DemSup'!$V$9:$Z$9</c:f>
              <c:numCache>
                <c:formatCode>General</c:formatCode>
                <c:ptCount val="5"/>
                <c:pt idx="0">
                  <c:v>80</c:v>
                </c:pt>
                <c:pt idx="1">
                  <c:v>60</c:v>
                </c:pt>
                <c:pt idx="2">
                  <c:v>30</c:v>
                </c:pt>
                <c:pt idx="3">
                  <c:v>20</c:v>
                </c:pt>
                <c:pt idx="4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AAF9-4E03-B073-E784F90CB30B}"/>
            </c:ext>
          </c:extLst>
        </c:ser>
        <c:ser>
          <c:idx val="2"/>
          <c:order val="2"/>
          <c:tx>
            <c:v>supply S1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F9-4E03-B073-E784F90CB30B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50699913855666523"/>
                  <c:y val="-0.13785350886805137"/>
                </c:manualLayout>
              </c:layout>
              <c:numFmt formatCode="General" sourceLinked="0"/>
            </c:trendlineLbl>
          </c:trendline>
          <c:xVal>
            <c:numRef>
              <c:f>'1DemSup'!$AD$10:$AH$10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xVal>
          <c:yVal>
            <c:numRef>
              <c:f>'1DemSup'!$AD$8:$AH$8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40</c:v>
                </c:pt>
                <c:pt idx="4">
                  <c:v>50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AAF9-4E03-B073-E784F90CB30B}"/>
            </c:ext>
          </c:extLst>
        </c:ser>
        <c:ser>
          <c:idx val="3"/>
          <c:order val="3"/>
          <c:tx>
            <c:v> supply S2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F9-4E03-B073-E784F90CB30B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99CC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42116405204472035"/>
                  <c:y val="-6.1923263568197086E-2"/>
                </c:manualLayout>
              </c:layout>
              <c:numFmt formatCode="General" sourceLinked="0"/>
            </c:trendlineLbl>
          </c:trendline>
          <c:xVal>
            <c:numRef>
              <c:f>'1DemSup'!$AD$11:$AH$11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-2</c:v>
                </c:pt>
              </c:numCache>
            </c:numRef>
          </c:xVal>
          <c:yVal>
            <c:numRef>
              <c:f>'1DemSup'!$AD$9:$AH$9</c:f>
              <c:numCache>
                <c:formatCode>General</c:formatCode>
                <c:ptCount val="5"/>
                <c:pt idx="0">
                  <c:v>80</c:v>
                </c:pt>
                <c:pt idx="1">
                  <c:v>60</c:v>
                </c:pt>
                <c:pt idx="2">
                  <c:v>40</c:v>
                </c:pt>
                <c:pt idx="3">
                  <c:v>20</c:v>
                </c:pt>
                <c:pt idx="4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AAF9-4E03-B073-E784F90CB30B}"/>
            </c:ext>
          </c:extLst>
        </c:ser>
        <c:axId val="100136448"/>
        <c:axId val="100138368"/>
      </c:scatterChart>
      <c:valAx>
        <c:axId val="100136448"/>
        <c:scaling>
          <c:orientation val="minMax"/>
          <c:min val="0"/>
        </c:scaling>
        <c:axPos val="b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800" b="0" i="0" u="none" strike="noStrike" baseline="0">
                    <a:effectLst/>
                  </a:rPr>
                  <a:t>quantity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0725846853035985"/>
              <c:y val="0.90058726203528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138368"/>
        <c:crosses val="autoZero"/>
        <c:crossBetween val="midCat"/>
      </c:valAx>
      <c:valAx>
        <c:axId val="100138368"/>
        <c:scaling>
          <c:orientation val="minMax"/>
        </c:scaling>
        <c:axPos val="l"/>
        <c:majorGridlines>
          <c:spPr>
            <a:ln w="9525">
              <a:solidFill>
                <a:srgbClr val="000000">
                  <a:alpha val="30000"/>
                </a:srgb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
</a:t>
                </a:r>
              </a:p>
            </c:rich>
          </c:tx>
          <c:layout>
            <c:manualLayout>
              <c:xMode val="edge"/>
              <c:yMode val="edge"/>
              <c:x val="3.4274339868590256E-2"/>
              <c:y val="0.45029349812286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136448"/>
        <c:crosses val="autoZero"/>
        <c:crossBetween val="midCat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435565185224244"/>
          <c:y val="0.48594464932389841"/>
          <c:w val="0.17012298965984937"/>
          <c:h val="0.449550882089106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511" r="0.750000000000005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2.7958223972003499E-2"/>
          <c:y val="6.0659813356663754E-2"/>
          <c:w val="0.74539588801400436"/>
          <c:h val="0.8326195683872849"/>
        </c:manualLayout>
      </c:layout>
      <c:scatterChart>
        <c:scatterStyle val="smoothMarker"/>
        <c:ser>
          <c:idx val="1"/>
          <c:order val="0"/>
          <c:tx>
            <c:v>supply</c:v>
          </c:tx>
          <c:marker>
            <c:symbol val="none"/>
          </c:marker>
          <c:xVal>
            <c:numRef>
              <c:f>'2FunctDemSup'!$AB$11:$AL$11</c:f>
              <c:numCache>
                <c:formatCode>General</c:formatCode>
                <c:ptCount val="11"/>
                <c:pt idx="2">
                  <c:v>-1.7999999999999998</c:v>
                </c:pt>
                <c:pt idx="3">
                  <c:v>-0.20000000000000018</c:v>
                </c:pt>
                <c:pt idx="4">
                  <c:v>1.4000000000000004</c:v>
                </c:pt>
                <c:pt idx="5">
                  <c:v>3</c:v>
                </c:pt>
                <c:pt idx="6">
                  <c:v>4.5999999999999996</c:v>
                </c:pt>
                <c:pt idx="7">
                  <c:v>6.1999999999999993</c:v>
                </c:pt>
                <c:pt idx="8">
                  <c:v>7.8000000000000007</c:v>
                </c:pt>
              </c:numCache>
            </c:numRef>
          </c:xVal>
          <c:yVal>
            <c:numRef>
              <c:f>'2FunctDemSup'!$AB$10:$AL$10</c:f>
              <c:numCache>
                <c:formatCode>General</c:formatCode>
                <c:ptCount val="11"/>
                <c:pt idx="2">
                  <c:v>3.2</c:v>
                </c:pt>
                <c:pt idx="3">
                  <c:v>4.8</c:v>
                </c:pt>
                <c:pt idx="4">
                  <c:v>6.4</c:v>
                </c:pt>
                <c:pt idx="5">
                  <c:v>8</c:v>
                </c:pt>
                <c:pt idx="6">
                  <c:v>9.6</c:v>
                </c:pt>
                <c:pt idx="7">
                  <c:v>11.2</c:v>
                </c:pt>
                <c:pt idx="8">
                  <c:v>12.8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585-4A4E-9E86-B41B4B1AD627}"/>
            </c:ext>
          </c:extLst>
        </c:ser>
        <c:ser>
          <c:idx val="0"/>
          <c:order val="1"/>
          <c:tx>
            <c:v>demand</c:v>
          </c:tx>
          <c:marker>
            <c:symbol val="none"/>
          </c:marker>
          <c:xVal>
            <c:numRef>
              <c:f>'2FunctDemSup'!$AB$7:$AL$7</c:f>
              <c:numCache>
                <c:formatCode>General</c:formatCode>
                <c:ptCount val="11"/>
                <c:pt idx="2">
                  <c:v>4.2</c:v>
                </c:pt>
                <c:pt idx="3">
                  <c:v>3.8</c:v>
                </c:pt>
                <c:pt idx="4">
                  <c:v>3.4</c:v>
                </c:pt>
                <c:pt idx="5">
                  <c:v>3</c:v>
                </c:pt>
                <c:pt idx="6">
                  <c:v>2.6</c:v>
                </c:pt>
                <c:pt idx="7">
                  <c:v>2.2000000000000002</c:v>
                </c:pt>
                <c:pt idx="8">
                  <c:v>1.7999999999999998</c:v>
                </c:pt>
              </c:numCache>
            </c:numRef>
          </c:xVal>
          <c:yVal>
            <c:numRef>
              <c:f>'2FunctDemSup'!$AB$6:$AL$6</c:f>
              <c:numCache>
                <c:formatCode>General</c:formatCode>
                <c:ptCount val="11"/>
                <c:pt idx="2">
                  <c:v>3.2</c:v>
                </c:pt>
                <c:pt idx="3">
                  <c:v>4.8</c:v>
                </c:pt>
                <c:pt idx="4">
                  <c:v>6.4</c:v>
                </c:pt>
                <c:pt idx="5">
                  <c:v>8</c:v>
                </c:pt>
                <c:pt idx="6">
                  <c:v>9.6</c:v>
                </c:pt>
                <c:pt idx="7">
                  <c:v>11.2</c:v>
                </c:pt>
                <c:pt idx="8">
                  <c:v>12.8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585-4A4E-9E86-B41B4B1AD627}"/>
            </c:ext>
          </c:extLst>
        </c:ser>
        <c:ser>
          <c:idx val="2"/>
          <c:order val="2"/>
          <c:tx>
            <c:v>odcięta</c:v>
          </c:tx>
          <c:spPr>
            <a:ln w="63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'2FunctDemSup'!$AB$14:$AG$14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xVal>
          <c:yVal>
            <c:numRef>
              <c:f>'2FunctDemSup'!$AB$13:$AG$13</c:f>
              <c:numCache>
                <c:formatCode>General</c:formatCode>
                <c:ptCount val="6"/>
                <c:pt idx="0">
                  <c:v>0</c:v>
                </c:pt>
                <c:pt idx="1">
                  <c:v>1.5999999999999996</c:v>
                </c:pt>
                <c:pt idx="2">
                  <c:v>3.2</c:v>
                </c:pt>
                <c:pt idx="3">
                  <c:v>4.8</c:v>
                </c:pt>
                <c:pt idx="4">
                  <c:v>6.4</c:v>
                </c:pt>
                <c:pt idx="5">
                  <c:v>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585-4A4E-9E86-B41B4B1AD627}"/>
            </c:ext>
          </c:extLst>
        </c:ser>
        <c:ser>
          <c:idx val="3"/>
          <c:order val="3"/>
          <c:tx>
            <c:v>rzędna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'2FunctDemSup'!$AB$15:$AG$15</c:f>
              <c:numCache>
                <c:formatCode>General</c:formatCode>
                <c:ptCount val="6"/>
                <c:pt idx="0">
                  <c:v>0</c:v>
                </c:pt>
                <c:pt idx="1">
                  <c:v>0.59999999999999964</c:v>
                </c:pt>
                <c:pt idx="2">
                  <c:v>1.2000000000000002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</c:numCache>
            </c:numRef>
          </c:xVal>
          <c:yVal>
            <c:numRef>
              <c:f>'2FunctDemSup'!$AB$16:$AG$16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585-4A4E-9E86-B41B4B1AD627}"/>
            </c:ext>
          </c:extLst>
        </c:ser>
        <c:ser>
          <c:idx val="4"/>
          <c:order val="4"/>
          <c:tx>
            <c:v>division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'2FunctDemSup'!$AA$19:$AB$19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'2FunctDemSup'!$AA$20:$AB$20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585-4A4E-9E86-B41B4B1AD627}"/>
            </c:ext>
          </c:extLst>
        </c:ser>
        <c:axId val="100951168"/>
        <c:axId val="100953088"/>
      </c:scatterChart>
      <c:valAx>
        <c:axId val="10095116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Q</a:t>
                </a:r>
              </a:p>
            </c:rich>
          </c:tx>
          <c:layout/>
        </c:title>
        <c:numFmt formatCode="General" sourceLinked="1"/>
        <c:tickLblPos val="nextTo"/>
        <c:spPr>
          <a:ln w="9525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0953088"/>
        <c:crosses val="autoZero"/>
        <c:crossBetween val="midCat"/>
        <c:minorUnit val="3.2865000000000002"/>
      </c:valAx>
      <c:valAx>
        <c:axId val="10095308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 sz="1400"/>
                  <a:t>P</a:t>
                </a:r>
              </a:p>
            </c:rich>
          </c:tx>
          <c:layout/>
        </c:title>
        <c:numFmt formatCode="General" sourceLinked="1"/>
        <c:tickLblPos val="nextTo"/>
        <c:crossAx val="100951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92561394941916"/>
          <c:y val="0.40625038149301107"/>
          <c:w val="0.18801643980548999"/>
          <c:h val="0.25"/>
        </c:manualLayout>
      </c:layout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3.308418570703011E-2"/>
          <c:y val="6.5723113724708473E-2"/>
          <c:w val="0.7453958880140048"/>
          <c:h val="0.8326195683872849"/>
        </c:manualLayout>
      </c:layout>
      <c:scatterChart>
        <c:scatterStyle val="smoothMarker"/>
        <c:ser>
          <c:idx val="0"/>
          <c:order val="0"/>
          <c:tx>
            <c:v> D1</c:v>
          </c:tx>
          <c:marker>
            <c:symbol val="none"/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E-4722-8F9A-ECD45D973AC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'2FunctDemSup'!$AB$24:$AL$24</c:f>
              <c:numCache>
                <c:formatCode>General</c:formatCode>
                <c:ptCount val="11"/>
                <c:pt idx="0">
                  <c:v>10</c:v>
                </c:pt>
                <c:pt idx="1">
                  <c:v>8.7142857142857153</c:v>
                </c:pt>
                <c:pt idx="2">
                  <c:v>7.4285714285714288</c:v>
                </c:pt>
                <c:pt idx="3">
                  <c:v>6.1428571428571432</c:v>
                </c:pt>
                <c:pt idx="4">
                  <c:v>4.8571428571428577</c:v>
                </c:pt>
                <c:pt idx="5">
                  <c:v>3.5714285714285712</c:v>
                </c:pt>
                <c:pt idx="6">
                  <c:v>2.2857142857142865</c:v>
                </c:pt>
                <c:pt idx="7">
                  <c:v>1</c:v>
                </c:pt>
                <c:pt idx="8">
                  <c:v>-0.2857142857142847</c:v>
                </c:pt>
                <c:pt idx="9">
                  <c:v>-1.5714285714285712</c:v>
                </c:pt>
                <c:pt idx="10">
                  <c:v>-2.8571428571428577</c:v>
                </c:pt>
              </c:numCache>
            </c:numRef>
          </c:xVal>
          <c:yVal>
            <c:numRef>
              <c:f>'2FunctDemSup'!$AB$23:$AL$23</c:f>
              <c:numCache>
                <c:formatCode>General</c:formatCode>
                <c:ptCount val="11"/>
                <c:pt idx="0" formatCode="0.00">
                  <c:v>0</c:v>
                </c:pt>
                <c:pt idx="1">
                  <c:v>1.7142857142857135</c:v>
                </c:pt>
                <c:pt idx="2">
                  <c:v>3.4285714285714288</c:v>
                </c:pt>
                <c:pt idx="3">
                  <c:v>5.1428571428571423</c:v>
                </c:pt>
                <c:pt idx="4">
                  <c:v>6.8571428571428568</c:v>
                </c:pt>
                <c:pt idx="5">
                  <c:v>8.5714285714285712</c:v>
                </c:pt>
                <c:pt idx="6">
                  <c:v>10.285714285714285</c:v>
                </c:pt>
                <c:pt idx="7">
                  <c:v>12</c:v>
                </c:pt>
                <c:pt idx="8">
                  <c:v>13.714285714285714</c:v>
                </c:pt>
                <c:pt idx="9">
                  <c:v>15.428571428571429</c:v>
                </c:pt>
                <c:pt idx="10" formatCode="0.00">
                  <c:v>17.142857142857142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00E-4722-8F9A-ECD45D973AC0}"/>
            </c:ext>
          </c:extLst>
        </c:ser>
        <c:ser>
          <c:idx val="1"/>
          <c:order val="1"/>
          <c:tx>
            <c:v>D2</c:v>
          </c:tx>
          <c:marker>
            <c:symbol val="none"/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E-4722-8F9A-ECD45D973AC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'2FunctDemSup'!$AB$27:$AL$27</c:f>
              <c:numCache>
                <c:formatCode>General</c:formatCode>
                <c:ptCount val="11"/>
                <c:pt idx="0">
                  <c:v>5</c:v>
                </c:pt>
                <c:pt idx="1">
                  <c:v>4.5999999999999996</c:v>
                </c:pt>
                <c:pt idx="2">
                  <c:v>4.2</c:v>
                </c:pt>
                <c:pt idx="3">
                  <c:v>3.8</c:v>
                </c:pt>
                <c:pt idx="4">
                  <c:v>3.4</c:v>
                </c:pt>
                <c:pt idx="5">
                  <c:v>3</c:v>
                </c:pt>
                <c:pt idx="6">
                  <c:v>2.6</c:v>
                </c:pt>
                <c:pt idx="7">
                  <c:v>2.2000000000000002</c:v>
                </c:pt>
                <c:pt idx="8">
                  <c:v>1.7999999999999998</c:v>
                </c:pt>
                <c:pt idx="9">
                  <c:v>1.4</c:v>
                </c:pt>
                <c:pt idx="10">
                  <c:v>1</c:v>
                </c:pt>
              </c:numCache>
            </c:numRef>
          </c:xVal>
          <c:yVal>
            <c:numRef>
              <c:f>'2FunctDemSup'!$AB$26:$AL$26</c:f>
              <c:numCache>
                <c:formatCode>General</c:formatCode>
                <c:ptCount val="11"/>
                <c:pt idx="0" formatCode="0.00">
                  <c:v>0</c:v>
                </c:pt>
                <c:pt idx="1">
                  <c:v>1.5999999999999996</c:v>
                </c:pt>
                <c:pt idx="2">
                  <c:v>3.2</c:v>
                </c:pt>
                <c:pt idx="3">
                  <c:v>4.8</c:v>
                </c:pt>
                <c:pt idx="4">
                  <c:v>6.4</c:v>
                </c:pt>
                <c:pt idx="5">
                  <c:v>8</c:v>
                </c:pt>
                <c:pt idx="6">
                  <c:v>9.6</c:v>
                </c:pt>
                <c:pt idx="7">
                  <c:v>11.2</c:v>
                </c:pt>
                <c:pt idx="8">
                  <c:v>12.8</c:v>
                </c:pt>
                <c:pt idx="9">
                  <c:v>14.4</c:v>
                </c:pt>
                <c:pt idx="10" formatCode="0.00">
                  <c:v>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00E-4722-8F9A-ECD45D973AC0}"/>
            </c:ext>
          </c:extLst>
        </c:ser>
        <c:ser>
          <c:idx val="2"/>
          <c:order val="2"/>
          <c:tx>
            <c:v> S1</c:v>
          </c:tx>
          <c:marker>
            <c:symbol val="none"/>
          </c:marker>
          <c:dLbls>
            <c:dLbl>
              <c:idx val="6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E-4722-8F9A-ECD45D973AC0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E-4722-8F9A-ECD45D973AC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'2FunctDemSup'!$AB$30:$AL$30</c:f>
              <c:numCache>
                <c:formatCode>General</c:formatCode>
                <c:ptCount val="11"/>
                <c:pt idx="0">
                  <c:v>-5</c:v>
                </c:pt>
                <c:pt idx="1">
                  <c:v>-2.7142857142857153</c:v>
                </c:pt>
                <c:pt idx="2">
                  <c:v>-0.42857142857142794</c:v>
                </c:pt>
                <c:pt idx="3">
                  <c:v>1.8571428571428568</c:v>
                </c:pt>
                <c:pt idx="4">
                  <c:v>4.1428571428571423</c:v>
                </c:pt>
                <c:pt idx="5">
                  <c:v>6.4285714285714288</c:v>
                </c:pt>
                <c:pt idx="6">
                  <c:v>8.7142857142857153</c:v>
                </c:pt>
                <c:pt idx="7">
                  <c:v>11</c:v>
                </c:pt>
                <c:pt idx="8">
                  <c:v>13.285714285714285</c:v>
                </c:pt>
                <c:pt idx="9">
                  <c:v>15.571428571428573</c:v>
                </c:pt>
                <c:pt idx="10">
                  <c:v>17.857142857142858</c:v>
                </c:pt>
              </c:numCache>
            </c:numRef>
          </c:xVal>
          <c:yVal>
            <c:numRef>
              <c:f>'2FunctDemSup'!$AB$29:$AL$29</c:f>
              <c:numCache>
                <c:formatCode>General</c:formatCode>
                <c:ptCount val="11"/>
                <c:pt idx="0" formatCode="0.00">
                  <c:v>0</c:v>
                </c:pt>
                <c:pt idx="1">
                  <c:v>2.2857142857142847</c:v>
                </c:pt>
                <c:pt idx="2">
                  <c:v>4.5714285714285721</c:v>
                </c:pt>
                <c:pt idx="3">
                  <c:v>6.8571428571428568</c:v>
                </c:pt>
                <c:pt idx="4">
                  <c:v>9.1428571428571423</c:v>
                </c:pt>
                <c:pt idx="5">
                  <c:v>11.428571428571429</c:v>
                </c:pt>
                <c:pt idx="6">
                  <c:v>13.714285714285715</c:v>
                </c:pt>
                <c:pt idx="7">
                  <c:v>16</c:v>
                </c:pt>
                <c:pt idx="8">
                  <c:v>18.285714285714285</c:v>
                </c:pt>
                <c:pt idx="9">
                  <c:v>20.571428571428573</c:v>
                </c:pt>
                <c:pt idx="10" formatCode="0.00">
                  <c:v>22.857142857142858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00E-4722-8F9A-ECD45D973AC0}"/>
            </c:ext>
          </c:extLst>
        </c:ser>
        <c:ser>
          <c:idx val="3"/>
          <c:order val="3"/>
          <c:tx>
            <c:v>S2</c:v>
          </c:tx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E-4722-8F9A-ECD45D973AC0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E-4722-8F9A-ECD45D973AC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'2FunctDemSup'!$AB$33:$AL$33</c:f>
              <c:numCache>
                <c:formatCode>General</c:formatCode>
                <c:ptCount val="11"/>
                <c:pt idx="0">
                  <c:v>-10</c:v>
                </c:pt>
                <c:pt idx="1">
                  <c:v>-7.6000000000000014</c:v>
                </c:pt>
                <c:pt idx="2">
                  <c:v>-5.1999999999999993</c:v>
                </c:pt>
                <c:pt idx="3">
                  <c:v>-2.8000000000000007</c:v>
                </c:pt>
                <c:pt idx="4">
                  <c:v>-0.40000000000000036</c:v>
                </c:pt>
                <c:pt idx="5">
                  <c:v>2</c:v>
                </c:pt>
                <c:pt idx="6">
                  <c:v>4.4000000000000004</c:v>
                </c:pt>
                <c:pt idx="7">
                  <c:v>6.8000000000000007</c:v>
                </c:pt>
                <c:pt idx="8">
                  <c:v>9.1999999999999993</c:v>
                </c:pt>
                <c:pt idx="9">
                  <c:v>11.600000000000001</c:v>
                </c:pt>
                <c:pt idx="10">
                  <c:v>14</c:v>
                </c:pt>
              </c:numCache>
            </c:numRef>
          </c:xVal>
          <c:yVal>
            <c:numRef>
              <c:f>'2FunctDemSup'!$AB$32:$AL$32</c:f>
              <c:numCache>
                <c:formatCode>General</c:formatCode>
                <c:ptCount val="11"/>
                <c:pt idx="0" formatCode="0.00">
                  <c:v>0</c:v>
                </c:pt>
                <c:pt idx="1">
                  <c:v>2.3999999999999986</c:v>
                </c:pt>
                <c:pt idx="2">
                  <c:v>4.8000000000000007</c:v>
                </c:pt>
                <c:pt idx="3">
                  <c:v>7.1999999999999993</c:v>
                </c:pt>
                <c:pt idx="4">
                  <c:v>9.6</c:v>
                </c:pt>
                <c:pt idx="5">
                  <c:v>12</c:v>
                </c:pt>
                <c:pt idx="6">
                  <c:v>14.4</c:v>
                </c:pt>
                <c:pt idx="7">
                  <c:v>16.8</c:v>
                </c:pt>
                <c:pt idx="8">
                  <c:v>19.2</c:v>
                </c:pt>
                <c:pt idx="9">
                  <c:v>21.6</c:v>
                </c:pt>
                <c:pt idx="10" formatCode="0.00">
                  <c:v>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800E-4722-8F9A-ECD45D973AC0}"/>
            </c:ext>
          </c:extLst>
        </c:ser>
        <c:ser>
          <c:idx val="4"/>
          <c:order val="4"/>
          <c:tx>
            <c:v>imbalance 1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'2FunctDemSup'!$P$26:$Q$26</c:f>
              <c:numCache>
                <c:formatCode>General</c:formatCode>
                <c:ptCount val="2"/>
                <c:pt idx="0">
                  <c:v>3.25</c:v>
                </c:pt>
                <c:pt idx="1">
                  <c:v>2.75</c:v>
                </c:pt>
              </c:numCache>
            </c:numRef>
          </c:xVal>
          <c:yVal>
            <c:numRef>
              <c:f>'2FunctDemSup'!$P$24:$Q$24</c:f>
              <c:numCache>
                <c:formatCode>0.00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800E-4722-8F9A-ECD45D973AC0}"/>
            </c:ext>
          </c:extLst>
        </c:ser>
        <c:ser>
          <c:idx val="5"/>
          <c:order val="5"/>
          <c:tx>
            <c:v>imbalance 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00E-4722-8F9A-ECD45D973AC0}"/>
              </c:ext>
            </c:extLst>
          </c:dPt>
          <c:xVal>
            <c:numRef>
              <c:f>'2FunctDemSup'!$S$26:$T$26</c:f>
              <c:numCache>
                <c:formatCode>General</c:formatCode>
                <c:ptCount val="2"/>
                <c:pt idx="0">
                  <c:v>4</c:v>
                </c:pt>
                <c:pt idx="1">
                  <c:v>-1</c:v>
                </c:pt>
              </c:numCache>
            </c:numRef>
          </c:xVal>
          <c:yVal>
            <c:numRef>
              <c:f>'2FunctDemSup'!$P$24:$Q$24</c:f>
              <c:numCache>
                <c:formatCode>0.00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800E-4722-8F9A-ECD45D973AC0}"/>
            </c:ext>
          </c:extLst>
        </c:ser>
        <c:axId val="100995456"/>
        <c:axId val="100997376"/>
      </c:scatterChart>
      <c:valAx>
        <c:axId val="100995456"/>
        <c:scaling>
          <c:orientation val="minMax"/>
          <c:min val="-15"/>
        </c:scaling>
        <c:axPos val="b"/>
        <c:majorGridlines>
          <c:spPr>
            <a:ln>
              <a:solidFill>
                <a:schemeClr val="tx1">
                  <a:alpha val="30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200"/>
                  <a:t>Q</a:t>
                </a:r>
              </a:p>
            </c:rich>
          </c:tx>
          <c:layout/>
        </c:title>
        <c:numFmt formatCode="General" sourceLinked="1"/>
        <c:tickLblPos val="nextTo"/>
        <c:spPr>
          <a:ln w="9525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0997376"/>
        <c:crosses val="autoZero"/>
        <c:crossBetween val="midCat"/>
        <c:minorUnit val="5"/>
      </c:valAx>
      <c:valAx>
        <c:axId val="100997376"/>
        <c:scaling>
          <c:orientation val="minMax"/>
        </c:scaling>
        <c:axPos val="l"/>
        <c:majorGridlines>
          <c:spPr>
            <a:ln>
              <a:solidFill>
                <a:schemeClr val="tx1">
                  <a:alpha val="30000"/>
                </a:schemeClr>
              </a:solidFill>
              <a:prstDash val="sysDot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 sz="1400"/>
                  <a:t>P</a:t>
                </a:r>
              </a:p>
            </c:rich>
          </c:tx>
          <c:layout/>
        </c:title>
        <c:numFmt formatCode="0.00" sourceLinked="1"/>
        <c:tickLblPos val="nextTo"/>
        <c:crossAx val="100995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25634295712943"/>
          <c:y val="0.40625014052014424"/>
          <c:w val="0.1631963582677165"/>
          <c:h val="0.27467714580370195"/>
        </c:manualLayout>
      </c:layout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2.7958223972003499E-2"/>
          <c:y val="6.0659813356663754E-2"/>
          <c:w val="0.7453958880140048"/>
          <c:h val="0.8326195683872849"/>
        </c:manualLayout>
      </c:layout>
      <c:scatterChart>
        <c:scatterStyle val="smoothMarker"/>
        <c:ser>
          <c:idx val="1"/>
          <c:order val="0"/>
          <c:tx>
            <c:v>podaż</c:v>
          </c:tx>
          <c:marker>
            <c:symbol val="none"/>
          </c:marker>
          <c:xVal>
            <c:numRef>
              <c:f>'2FunctDemSup'!$AB$11:$AL$11</c:f>
              <c:numCache>
                <c:formatCode>General</c:formatCode>
                <c:ptCount val="11"/>
                <c:pt idx="2">
                  <c:v>-1.7999999999999998</c:v>
                </c:pt>
                <c:pt idx="3">
                  <c:v>-0.20000000000000018</c:v>
                </c:pt>
                <c:pt idx="4">
                  <c:v>1.4000000000000004</c:v>
                </c:pt>
                <c:pt idx="5">
                  <c:v>3</c:v>
                </c:pt>
                <c:pt idx="6">
                  <c:v>4.5999999999999996</c:v>
                </c:pt>
                <c:pt idx="7">
                  <c:v>6.1999999999999993</c:v>
                </c:pt>
                <c:pt idx="8">
                  <c:v>7.8000000000000007</c:v>
                </c:pt>
              </c:numCache>
            </c:numRef>
          </c:xVal>
          <c:yVal>
            <c:numRef>
              <c:f>'2FunctDemSup'!$AB$10:$AL$10</c:f>
              <c:numCache>
                <c:formatCode>General</c:formatCode>
                <c:ptCount val="11"/>
                <c:pt idx="2">
                  <c:v>3.2</c:v>
                </c:pt>
                <c:pt idx="3">
                  <c:v>4.8</c:v>
                </c:pt>
                <c:pt idx="4">
                  <c:v>6.4</c:v>
                </c:pt>
                <c:pt idx="5">
                  <c:v>8</c:v>
                </c:pt>
                <c:pt idx="6">
                  <c:v>9.6</c:v>
                </c:pt>
                <c:pt idx="7">
                  <c:v>11.2</c:v>
                </c:pt>
                <c:pt idx="8">
                  <c:v>12.8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E3C-43B8-8610-D23169AC4BE7}"/>
            </c:ext>
          </c:extLst>
        </c:ser>
        <c:ser>
          <c:idx val="0"/>
          <c:order val="1"/>
          <c:tx>
            <c:v>Popyt</c:v>
          </c:tx>
          <c:marker>
            <c:symbol val="none"/>
          </c:marker>
          <c:xVal>
            <c:numRef>
              <c:f>'2FunctDemSup'!$AB$7:$AL$7</c:f>
              <c:numCache>
                <c:formatCode>General</c:formatCode>
                <c:ptCount val="11"/>
                <c:pt idx="2">
                  <c:v>4.2</c:v>
                </c:pt>
                <c:pt idx="3">
                  <c:v>3.8</c:v>
                </c:pt>
                <c:pt idx="4">
                  <c:v>3.4</c:v>
                </c:pt>
                <c:pt idx="5">
                  <c:v>3</c:v>
                </c:pt>
                <c:pt idx="6">
                  <c:v>2.6</c:v>
                </c:pt>
                <c:pt idx="7">
                  <c:v>2.2000000000000002</c:v>
                </c:pt>
                <c:pt idx="8">
                  <c:v>1.7999999999999998</c:v>
                </c:pt>
              </c:numCache>
            </c:numRef>
          </c:xVal>
          <c:yVal>
            <c:numRef>
              <c:f>'2FunctDemSup'!$AB$6:$AL$6</c:f>
              <c:numCache>
                <c:formatCode>General</c:formatCode>
                <c:ptCount val="11"/>
                <c:pt idx="2">
                  <c:v>3.2</c:v>
                </c:pt>
                <c:pt idx="3">
                  <c:v>4.8</c:v>
                </c:pt>
                <c:pt idx="4">
                  <c:v>6.4</c:v>
                </c:pt>
                <c:pt idx="5">
                  <c:v>8</c:v>
                </c:pt>
                <c:pt idx="6">
                  <c:v>9.6</c:v>
                </c:pt>
                <c:pt idx="7">
                  <c:v>11.2</c:v>
                </c:pt>
                <c:pt idx="8">
                  <c:v>12.8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E3C-43B8-8610-D23169AC4BE7}"/>
            </c:ext>
          </c:extLst>
        </c:ser>
        <c:ser>
          <c:idx val="2"/>
          <c:order val="2"/>
          <c:tx>
            <c:v>odcięta</c:v>
          </c:tx>
          <c:spPr>
            <a:ln w="63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'2FunctDemSup'!$AB$14:$AG$14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xVal>
          <c:yVal>
            <c:numRef>
              <c:f>'2FunctDemSup'!$AB$13:$AG$13</c:f>
              <c:numCache>
                <c:formatCode>General</c:formatCode>
                <c:ptCount val="6"/>
                <c:pt idx="0">
                  <c:v>0</c:v>
                </c:pt>
                <c:pt idx="1">
                  <c:v>1.5999999999999996</c:v>
                </c:pt>
                <c:pt idx="2">
                  <c:v>3.2</c:v>
                </c:pt>
                <c:pt idx="3">
                  <c:v>4.8</c:v>
                </c:pt>
                <c:pt idx="4">
                  <c:v>6.4</c:v>
                </c:pt>
                <c:pt idx="5">
                  <c:v>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E3C-43B8-8610-D23169AC4BE7}"/>
            </c:ext>
          </c:extLst>
        </c:ser>
        <c:ser>
          <c:idx val="3"/>
          <c:order val="3"/>
          <c:tx>
            <c:v>rzędna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'2FunctDemSup'!$AB$15:$AG$15</c:f>
              <c:numCache>
                <c:formatCode>General</c:formatCode>
                <c:ptCount val="6"/>
                <c:pt idx="0">
                  <c:v>0</c:v>
                </c:pt>
                <c:pt idx="1">
                  <c:v>0.59999999999999964</c:v>
                </c:pt>
                <c:pt idx="2">
                  <c:v>1.2000000000000002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</c:numCache>
            </c:numRef>
          </c:xVal>
          <c:yVal>
            <c:numRef>
              <c:f>'2FunctDemSup'!$AB$16:$AG$16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E3C-43B8-8610-D23169AC4BE7}"/>
            </c:ext>
          </c:extLst>
        </c:ser>
        <c:ser>
          <c:idx val="4"/>
          <c:order val="4"/>
          <c:tx>
            <c:v>odcinek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'2FunctDemSup'!$AA$19:$AB$19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'2FunctDemSup'!$AA$20:$AB$20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E3C-43B8-8610-D23169AC4BE7}"/>
            </c:ext>
          </c:extLst>
        </c:ser>
        <c:axId val="101043200"/>
        <c:axId val="101049472"/>
      </c:scatterChart>
      <c:valAx>
        <c:axId val="101043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Q</a:t>
                </a:r>
              </a:p>
            </c:rich>
          </c:tx>
        </c:title>
        <c:numFmt formatCode="General" sourceLinked="1"/>
        <c:tickLblPos val="nextTo"/>
        <c:spPr>
          <a:ln w="9525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1049472"/>
        <c:crosses val="autoZero"/>
        <c:crossBetween val="midCat"/>
        <c:minorUnit val="3.2865000000000002"/>
      </c:valAx>
      <c:valAx>
        <c:axId val="101049472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 sz="1400"/>
                  <a:t>P</a:t>
                </a:r>
              </a:p>
            </c:rich>
          </c:tx>
        </c:title>
        <c:numFmt formatCode="General" sourceLinked="1"/>
        <c:tickLblPos val="nextTo"/>
        <c:crossAx val="101043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925619834710747"/>
          <c:y val="0.40625070381053852"/>
          <c:w val="0.18801652892561982"/>
          <c:h val="0.24999974013149426"/>
        </c:manualLayout>
      </c:layout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 b="1"/>
              <a:t>Comweb</a:t>
            </a:r>
            <a:r>
              <a:rPr lang="pl-PL" sz="1400" b="1" baseline="0"/>
              <a:t> Model</a:t>
            </a:r>
            <a:endParaRPr lang="en-US" sz="1400" b="1"/>
          </a:p>
        </c:rich>
      </c:tx>
      <c:layout>
        <c:manualLayout>
          <c:xMode val="edge"/>
          <c:yMode val="edge"/>
          <c:x val="0.36068983675618749"/>
          <c:y val="2.6827632461435335E-2"/>
        </c:manualLayout>
      </c:layout>
      <c:overlay val="1"/>
    </c:title>
    <c:plotArea>
      <c:layout>
        <c:manualLayout>
          <c:layoutTarget val="inner"/>
          <c:xMode val="edge"/>
          <c:yMode val="edge"/>
          <c:x val="2.7958223972003499E-2"/>
          <c:y val="0.14399314668999902"/>
          <c:w val="0.7453958880140048"/>
          <c:h val="0.74928623505395153"/>
        </c:manualLayout>
      </c:layout>
      <c:scatterChart>
        <c:scatterStyle val="smoothMarker"/>
        <c:ser>
          <c:idx val="1"/>
          <c:order val="0"/>
          <c:tx>
            <c:v>supply</c:v>
          </c:tx>
          <c:marker>
            <c:symbol val="none"/>
          </c:marker>
          <c:xVal>
            <c:numRef>
              <c:f>'3CowMod'!$U$24:$AE$24</c:f>
              <c:numCache>
                <c:formatCode>General</c:formatCode>
                <c:ptCount val="11"/>
                <c:pt idx="0">
                  <c:v>40</c:v>
                </c:pt>
                <c:pt idx="1">
                  <c:v>35.200000000000003</c:v>
                </c:pt>
                <c:pt idx="2">
                  <c:v>30.4</c:v>
                </c:pt>
                <c:pt idx="3">
                  <c:v>25.6</c:v>
                </c:pt>
                <c:pt idx="4">
                  <c:v>20.8</c:v>
                </c:pt>
                <c:pt idx="5">
                  <c:v>16</c:v>
                </c:pt>
                <c:pt idx="6">
                  <c:v>11.2</c:v>
                </c:pt>
                <c:pt idx="7">
                  <c:v>6.3999999999999986</c:v>
                </c:pt>
                <c:pt idx="8">
                  <c:v>1.6000000000000014</c:v>
                </c:pt>
                <c:pt idx="9">
                  <c:v>-3.2000000000000028</c:v>
                </c:pt>
                <c:pt idx="10">
                  <c:v>-8</c:v>
                </c:pt>
              </c:numCache>
            </c:numRef>
          </c:xVal>
          <c:yVal>
            <c:numRef>
              <c:f>'3CowMod'!$U$23:$AE$23</c:f>
              <c:numCache>
                <c:formatCode>General</c:formatCode>
                <c:ptCount val="11"/>
                <c:pt idx="0">
                  <c:v>0</c:v>
                </c:pt>
                <c:pt idx="1">
                  <c:v>2.3999999999999986</c:v>
                </c:pt>
                <c:pt idx="2">
                  <c:v>4.8000000000000007</c:v>
                </c:pt>
                <c:pt idx="3">
                  <c:v>7.1999999999999993</c:v>
                </c:pt>
                <c:pt idx="4">
                  <c:v>9.6</c:v>
                </c:pt>
                <c:pt idx="5">
                  <c:v>12</c:v>
                </c:pt>
                <c:pt idx="6">
                  <c:v>14.4</c:v>
                </c:pt>
                <c:pt idx="7">
                  <c:v>16.8</c:v>
                </c:pt>
                <c:pt idx="8">
                  <c:v>19.2</c:v>
                </c:pt>
                <c:pt idx="9">
                  <c:v>21.6</c:v>
                </c:pt>
                <c:pt idx="10">
                  <c:v>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109-4B12-BFB5-016064999CED}"/>
            </c:ext>
          </c:extLst>
        </c:ser>
        <c:ser>
          <c:idx val="0"/>
          <c:order val="1"/>
          <c:tx>
            <c:v>demand</c:v>
          </c:tx>
          <c:marker>
            <c:symbol val="none"/>
          </c:marker>
          <c:xVal>
            <c:numRef>
              <c:f>'3CowMod'!$U$28:$AE$28</c:f>
              <c:numCache>
                <c:formatCode>General</c:formatCode>
                <c:ptCount val="11"/>
                <c:pt idx="0">
                  <c:v>-20</c:v>
                </c:pt>
                <c:pt idx="1">
                  <c:v>-12.800000000000004</c:v>
                </c:pt>
                <c:pt idx="2">
                  <c:v>-5.5999999999999979</c:v>
                </c:pt>
                <c:pt idx="3">
                  <c:v>1.5999999999999979</c:v>
                </c:pt>
                <c:pt idx="4">
                  <c:v>8.7999999999999972</c:v>
                </c:pt>
                <c:pt idx="5">
                  <c:v>16</c:v>
                </c:pt>
                <c:pt idx="6">
                  <c:v>23.200000000000003</c:v>
                </c:pt>
                <c:pt idx="7">
                  <c:v>30.400000000000006</c:v>
                </c:pt>
                <c:pt idx="8">
                  <c:v>37.599999999999994</c:v>
                </c:pt>
                <c:pt idx="9">
                  <c:v>44.800000000000011</c:v>
                </c:pt>
                <c:pt idx="10">
                  <c:v>44.800000000000011</c:v>
                </c:pt>
              </c:numCache>
            </c:numRef>
          </c:xVal>
          <c:yVal>
            <c:numRef>
              <c:f>'3CowMod'!$U$27:$AE$27</c:f>
              <c:numCache>
                <c:formatCode>General</c:formatCode>
                <c:ptCount val="11"/>
                <c:pt idx="0">
                  <c:v>0</c:v>
                </c:pt>
                <c:pt idx="1">
                  <c:v>2.3999999999999986</c:v>
                </c:pt>
                <c:pt idx="2">
                  <c:v>4.8000000000000007</c:v>
                </c:pt>
                <c:pt idx="3">
                  <c:v>7.1999999999999993</c:v>
                </c:pt>
                <c:pt idx="4">
                  <c:v>9.6</c:v>
                </c:pt>
                <c:pt idx="5">
                  <c:v>12</c:v>
                </c:pt>
                <c:pt idx="6">
                  <c:v>14.4</c:v>
                </c:pt>
                <c:pt idx="7">
                  <c:v>16.8</c:v>
                </c:pt>
                <c:pt idx="8">
                  <c:v>19.2</c:v>
                </c:pt>
                <c:pt idx="9">
                  <c:v>21.6</c:v>
                </c:pt>
                <c:pt idx="10">
                  <c:v>21.6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09-4B12-BFB5-016064999CED}"/>
            </c:ext>
          </c:extLst>
        </c:ser>
        <c:ser>
          <c:idx val="2"/>
          <c:order val="2"/>
          <c:tx>
            <c:v>odcięta</c:v>
          </c:tx>
          <c:spPr>
            <a:ln w="63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'3CowMod'!$U$31:$Z$31</c:f>
              <c:numCache>
                <c:formatCode>General</c:formatCode>
                <c:ptCount val="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</c:numCache>
            </c:numRef>
          </c:xVal>
          <c:yVal>
            <c:numRef>
              <c:f>'3CowMod'!$U$30:$Z$30</c:f>
              <c:numCache>
                <c:formatCode>General</c:formatCode>
                <c:ptCount val="6"/>
                <c:pt idx="0">
                  <c:v>0</c:v>
                </c:pt>
                <c:pt idx="1">
                  <c:v>2.3999999999999986</c:v>
                </c:pt>
                <c:pt idx="2">
                  <c:v>4.8000000000000007</c:v>
                </c:pt>
                <c:pt idx="3">
                  <c:v>7.1999999999999993</c:v>
                </c:pt>
                <c:pt idx="4">
                  <c:v>9.6</c:v>
                </c:pt>
                <c:pt idx="5">
                  <c:v>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109-4B12-BFB5-016064999CED}"/>
            </c:ext>
          </c:extLst>
        </c:ser>
        <c:ser>
          <c:idx val="3"/>
          <c:order val="3"/>
          <c:tx>
            <c:v>rzędna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'3CowMod'!$U$32:$Z$32</c:f>
              <c:numCache>
                <c:formatCode>General</c:formatCode>
                <c:ptCount val="6"/>
                <c:pt idx="0">
                  <c:v>0</c:v>
                </c:pt>
                <c:pt idx="1">
                  <c:v>3.1999999999999993</c:v>
                </c:pt>
                <c:pt idx="2">
                  <c:v>6.4</c:v>
                </c:pt>
                <c:pt idx="3">
                  <c:v>9.6</c:v>
                </c:pt>
                <c:pt idx="4">
                  <c:v>12.8</c:v>
                </c:pt>
                <c:pt idx="5">
                  <c:v>16</c:v>
                </c:pt>
              </c:numCache>
            </c:numRef>
          </c:xVal>
          <c:yVal>
            <c:numRef>
              <c:f>'3CowMod'!$U$33:$Z$33</c:f>
              <c:numCache>
                <c:formatCode>General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109-4B12-BFB5-016064999CED}"/>
            </c:ext>
          </c:extLst>
        </c:ser>
        <c:ser>
          <c:idx val="4"/>
          <c:order val="4"/>
          <c:tx>
            <c:v>division1</c:v>
          </c:tx>
          <c:spPr>
            <a:ln w="25400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'3CowMod'!$T$35:$U$35</c:f>
              <c:numCache>
                <c:formatCode>General</c:formatCode>
                <c:ptCount val="2"/>
                <c:pt idx="0">
                  <c:v>25</c:v>
                </c:pt>
                <c:pt idx="1">
                  <c:v>2.5</c:v>
                </c:pt>
              </c:numCache>
            </c:numRef>
          </c:xVal>
          <c:yVal>
            <c:numRef>
              <c:f>'3CowMod'!$T$36:$U$36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109-4B12-BFB5-016064999CED}"/>
            </c:ext>
          </c:extLst>
        </c:ser>
        <c:ser>
          <c:idx val="5"/>
          <c:order val="5"/>
          <c:tx>
            <c:v>division2</c:v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'3CowMod'!$X$35:$Y$35</c:f>
              <c:numCache>
                <c:formatCode>General</c:formatCode>
                <c:ptCount val="2"/>
                <c:pt idx="0">
                  <c:v>2.5</c:v>
                </c:pt>
                <c:pt idx="1">
                  <c:v>36.25</c:v>
                </c:pt>
              </c:numCache>
            </c:numRef>
          </c:xVal>
          <c:yVal>
            <c:numRef>
              <c:f>'3CowMod'!$X$36:$Y$36</c:f>
              <c:numCache>
                <c:formatCode>General</c:formatCode>
                <c:ptCount val="2"/>
                <c:pt idx="0">
                  <c:v>18.75</c:v>
                </c:pt>
                <c:pt idx="1">
                  <c:v>18.75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109-4B12-BFB5-016064999CED}"/>
            </c:ext>
          </c:extLst>
        </c:ser>
        <c:ser>
          <c:idx val="6"/>
          <c:order val="6"/>
          <c:tx>
            <c:v>division3</c:v>
          </c:tx>
          <c:spPr>
            <a:ln w="25400"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'3CowMod'!$AB$35:$AC$35</c:f>
              <c:numCache>
                <c:formatCode>General</c:formatCode>
                <c:ptCount val="2"/>
                <c:pt idx="0">
                  <c:v>36.25</c:v>
                </c:pt>
                <c:pt idx="1">
                  <c:v>-14.375</c:v>
                </c:pt>
              </c:numCache>
            </c:numRef>
          </c:xVal>
          <c:yVal>
            <c:numRef>
              <c:f>'3CowMod'!$AB$36:$AC$36</c:f>
              <c:numCache>
                <c:formatCode>General</c:formatCode>
                <c:ptCount val="2"/>
                <c:pt idx="0">
                  <c:v>1.875</c:v>
                </c:pt>
                <c:pt idx="1">
                  <c:v>1.875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109-4B12-BFB5-016064999CED}"/>
            </c:ext>
          </c:extLst>
        </c:ser>
        <c:ser>
          <c:idx val="7"/>
          <c:order val="7"/>
          <c:tx>
            <c:v>division1/2</c:v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'3CowMod'!$V$35:$W$35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'3CowMod'!$V$36:$W$36</c:f>
              <c:numCache>
                <c:formatCode>General</c:formatCode>
                <c:ptCount val="2"/>
                <c:pt idx="0">
                  <c:v>7.5</c:v>
                </c:pt>
                <c:pt idx="1">
                  <c:v>18.75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109-4B12-BFB5-016064999CED}"/>
            </c:ext>
          </c:extLst>
        </c:ser>
        <c:ser>
          <c:idx val="8"/>
          <c:order val="8"/>
          <c:tx>
            <c:v>division2/3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'3CowMod'!$Z$35:$AA$35</c:f>
              <c:numCache>
                <c:formatCode>General</c:formatCode>
                <c:ptCount val="2"/>
                <c:pt idx="0">
                  <c:v>36.25</c:v>
                </c:pt>
                <c:pt idx="1">
                  <c:v>36.25</c:v>
                </c:pt>
              </c:numCache>
            </c:numRef>
          </c:xVal>
          <c:yVal>
            <c:numRef>
              <c:f>'3CowMod'!$Z$36:$AA$36</c:f>
              <c:numCache>
                <c:formatCode>General</c:formatCode>
                <c:ptCount val="2"/>
                <c:pt idx="0">
                  <c:v>18.75</c:v>
                </c:pt>
                <c:pt idx="1">
                  <c:v>1.875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2109-4B12-BFB5-016064999CED}"/>
            </c:ext>
          </c:extLst>
        </c:ser>
        <c:axId val="102563840"/>
        <c:axId val="102565760"/>
      </c:scatterChart>
      <c:valAx>
        <c:axId val="102563840"/>
        <c:scaling>
          <c:orientation val="minMax"/>
        </c:scaling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600"/>
                  <a:t>Q</a:t>
                </a:r>
              </a:p>
            </c:rich>
          </c:tx>
          <c:layout>
            <c:manualLayout>
              <c:xMode val="edge"/>
              <c:yMode val="edge"/>
              <c:x val="0.82723992834229054"/>
              <c:y val="0.89569444444444546"/>
            </c:manualLayout>
          </c:layout>
        </c:title>
        <c:numFmt formatCode="General" sourceLinked="1"/>
        <c:tickLblPos val="nextTo"/>
        <c:spPr>
          <a:ln w="952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2565760"/>
        <c:crosses val="autoZero"/>
        <c:crossBetween val="midCat"/>
        <c:minorUnit val="3.15"/>
      </c:valAx>
      <c:valAx>
        <c:axId val="102565760"/>
        <c:scaling>
          <c:orientation val="minMax"/>
        </c:scaling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sysDot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 sz="1600" b="1"/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0.43671478565179395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2563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930550347873175"/>
          <c:y val="0.14583333333333359"/>
          <c:w val="0.1977084114485689"/>
          <c:h val="0.62021653543307165"/>
        </c:manualLayout>
      </c:layout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Good A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6.3655074365704292E-2"/>
          <c:y val="0.15154967805341193"/>
          <c:w val="0.70932414698162727"/>
          <c:h val="0.64108591778394763"/>
        </c:manualLayout>
      </c:layout>
      <c:scatterChart>
        <c:scatterStyle val="smoothMarker"/>
        <c:ser>
          <c:idx val="1"/>
          <c:order val="0"/>
          <c:tx>
            <c:v>D1</c:v>
          </c:tx>
          <c:spPr>
            <a:ln w="19050"/>
          </c:spPr>
          <c:marker>
            <c:symbol val="none"/>
          </c:marker>
          <c:xVal>
            <c:numRef>
              <c:f>'4ElasticDemSup'!$AX$32:$BH$32</c:f>
              <c:numCache>
                <c:formatCode>General</c:formatCode>
                <c:ptCount val="11"/>
                <c:pt idx="0">
                  <c:v>18</c:v>
                </c:pt>
                <c:pt idx="1">
                  <c:v>15.600000000000001</c:v>
                </c:pt>
                <c:pt idx="2">
                  <c:v>13.2</c:v>
                </c:pt>
                <c:pt idx="3">
                  <c:v>10.8</c:v>
                </c:pt>
                <c:pt idx="4">
                  <c:v>8.4</c:v>
                </c:pt>
                <c:pt idx="5">
                  <c:v>6</c:v>
                </c:pt>
                <c:pt idx="6">
                  <c:v>3.5999999999999996</c:v>
                </c:pt>
                <c:pt idx="7">
                  <c:v>1.1999999999999993</c:v>
                </c:pt>
                <c:pt idx="8">
                  <c:v>-1.1999999999999993</c:v>
                </c:pt>
                <c:pt idx="9">
                  <c:v>-3.6000000000000014</c:v>
                </c:pt>
                <c:pt idx="10">
                  <c:v>-6</c:v>
                </c:pt>
              </c:numCache>
            </c:numRef>
          </c:xVal>
          <c:yVal>
            <c:numRef>
              <c:f>'4ElasticDemSup'!$AX$31:$BH$31</c:f>
              <c:numCache>
                <c:formatCode>General</c:formatCode>
                <c:ptCount val="11"/>
                <c:pt idx="0">
                  <c:v>0</c:v>
                </c:pt>
                <c:pt idx="1">
                  <c:v>0.59999999999999964</c:v>
                </c:pt>
                <c:pt idx="2">
                  <c:v>1.2000000000000002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05E-451D-8FCE-B25A4717589C}"/>
            </c:ext>
          </c:extLst>
        </c:ser>
        <c:ser>
          <c:idx val="3"/>
          <c:order val="1"/>
          <c:tx>
            <c:v>S1</c:v>
          </c:tx>
          <c:spPr>
            <a:ln w="19050"/>
          </c:spPr>
          <c:marker>
            <c:symbol val="none"/>
          </c:marker>
          <c:xVal>
            <c:numRef>
              <c:f>'4ElasticDemSup'!$AX$37:$BH$37</c:f>
              <c:numCache>
                <c:formatCode>General</c:formatCode>
                <c:ptCount val="11"/>
                <c:pt idx="0">
                  <c:v>-3</c:v>
                </c:pt>
                <c:pt idx="1">
                  <c:v>-1.2000000000000011</c:v>
                </c:pt>
                <c:pt idx="2">
                  <c:v>0.60000000000000053</c:v>
                </c:pt>
                <c:pt idx="3">
                  <c:v>2.3999999999999995</c:v>
                </c:pt>
                <c:pt idx="4">
                  <c:v>4.1999999999999993</c:v>
                </c:pt>
                <c:pt idx="5">
                  <c:v>6</c:v>
                </c:pt>
                <c:pt idx="6">
                  <c:v>7.8000000000000007</c:v>
                </c:pt>
                <c:pt idx="7">
                  <c:v>9.6000000000000014</c:v>
                </c:pt>
                <c:pt idx="8">
                  <c:v>11.399999999999999</c:v>
                </c:pt>
                <c:pt idx="9">
                  <c:v>13.200000000000003</c:v>
                </c:pt>
                <c:pt idx="10">
                  <c:v>15</c:v>
                </c:pt>
              </c:numCache>
            </c:numRef>
          </c:xVal>
          <c:yVal>
            <c:numRef>
              <c:f>'4ElasticDemSup'!$AX$36:$BH$36</c:f>
              <c:numCache>
                <c:formatCode>General</c:formatCode>
                <c:ptCount val="11"/>
                <c:pt idx="0">
                  <c:v>0</c:v>
                </c:pt>
                <c:pt idx="1">
                  <c:v>0.59999999999999964</c:v>
                </c:pt>
                <c:pt idx="2">
                  <c:v>1.2000000000000002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05E-451D-8FCE-B25A4717589C}"/>
            </c:ext>
          </c:extLst>
        </c:ser>
        <c:ser>
          <c:idx val="0"/>
          <c:order val="2"/>
          <c:tx>
            <c:v>S2</c:v>
          </c:tx>
          <c:marker>
            <c:symbol val="none"/>
          </c:marker>
          <c:xVal>
            <c:numRef>
              <c:f>'4ElasticDemSup'!$AX$38:$BH$38</c:f>
              <c:numCache>
                <c:formatCode>General</c:formatCode>
                <c:ptCount val="11"/>
                <c:pt idx="0">
                  <c:v>-4</c:v>
                </c:pt>
                <c:pt idx="1">
                  <c:v>-2.2000000000000011</c:v>
                </c:pt>
                <c:pt idx="2">
                  <c:v>-0.39999999999999947</c:v>
                </c:pt>
                <c:pt idx="3">
                  <c:v>1.3999999999999995</c:v>
                </c:pt>
                <c:pt idx="4">
                  <c:v>3.1999999999999993</c:v>
                </c:pt>
                <c:pt idx="5">
                  <c:v>5</c:v>
                </c:pt>
                <c:pt idx="6">
                  <c:v>6.8000000000000007</c:v>
                </c:pt>
                <c:pt idx="7">
                  <c:v>8.6000000000000014</c:v>
                </c:pt>
                <c:pt idx="8">
                  <c:v>10.399999999999999</c:v>
                </c:pt>
                <c:pt idx="9">
                  <c:v>12.200000000000003</c:v>
                </c:pt>
                <c:pt idx="10">
                  <c:v>14</c:v>
                </c:pt>
              </c:numCache>
            </c:numRef>
          </c:xVal>
          <c:yVal>
            <c:numRef>
              <c:f>'4ElasticDemSup'!$AX$36:$BH$36</c:f>
              <c:numCache>
                <c:formatCode>General</c:formatCode>
                <c:ptCount val="11"/>
                <c:pt idx="0">
                  <c:v>0</c:v>
                </c:pt>
                <c:pt idx="1">
                  <c:v>0.59999999999999964</c:v>
                </c:pt>
                <c:pt idx="2">
                  <c:v>1.2000000000000002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05E-451D-8FCE-B25A4717589C}"/>
            </c:ext>
          </c:extLst>
        </c:ser>
        <c:axId val="102655488"/>
        <c:axId val="102657024"/>
      </c:scatterChart>
      <c:valAx>
        <c:axId val="102655488"/>
        <c:scaling>
          <c:orientation val="minMax"/>
          <c:min val="0"/>
        </c:scaling>
        <c:axPos val="b"/>
        <c:majorGridlines>
          <c:spPr>
            <a:ln>
              <a:solidFill>
                <a:srgbClr val="4F81BD">
                  <a:alpha val="44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2657024"/>
        <c:crosses val="autoZero"/>
        <c:crossBetween val="midCat"/>
      </c:valAx>
      <c:valAx>
        <c:axId val="102657024"/>
        <c:scaling>
          <c:orientation val="minMax"/>
        </c:scaling>
        <c:axPos val="l"/>
        <c:majorGridlines>
          <c:spPr>
            <a:ln>
              <a:solidFill>
                <a:srgbClr val="4F81BD">
                  <a:alpha val="28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crossAx val="102655488"/>
        <c:crosses val="autoZero"/>
        <c:crossBetween val="midCat"/>
      </c:valAx>
    </c:plotArea>
    <c:legend>
      <c:legendPos val="r"/>
      <c:layout/>
    </c:legend>
    <c:plotVisOnly val="1"/>
    <c:dispBlanksAs val="zero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600"/>
              <a:t>Demand function and elasticity od demand function</a:t>
            </a:r>
          </a:p>
        </c:rich>
      </c:tx>
      <c:layout>
        <c:manualLayout>
          <c:xMode val="edge"/>
          <c:yMode val="edge"/>
          <c:x val="0.15504231201868995"/>
          <c:y val="0"/>
        </c:manualLayout>
      </c:layout>
    </c:title>
    <c:plotArea>
      <c:layout>
        <c:manualLayout>
          <c:layoutTarget val="inner"/>
          <c:xMode val="edge"/>
          <c:yMode val="edge"/>
          <c:x val="4.5791454413886934E-2"/>
          <c:y val="0.12508678519100841"/>
          <c:w val="0.79362370150678174"/>
          <c:h val="0.77972243299294985"/>
        </c:manualLayout>
      </c:layout>
      <c:scatterChart>
        <c:scatterStyle val="smoothMarker"/>
        <c:ser>
          <c:idx val="1"/>
          <c:order val="0"/>
          <c:tx>
            <c:strRef>
              <c:f>'4ElasticDemSup'!$AX$11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'4ElasticDemSup'!$AX$8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'4ElasticDemSup'!$AX$7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7EC-4632-8539-635D79E3E66C}"/>
            </c:ext>
          </c:extLst>
        </c:ser>
        <c:ser>
          <c:idx val="2"/>
          <c:order val="1"/>
          <c:tx>
            <c:strRef>
              <c:f>'4ElasticDemSup'!$AZ$11</c:f>
              <c:strCache>
                <c:ptCount val="1"/>
                <c:pt idx="0">
                  <c:v>0,25</c:v>
                </c:pt>
              </c:strCache>
            </c:strRef>
          </c:tx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'4ElasticDemSup'!$AZ$8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'4ElasticDemSup'!$AZ$7</c:f>
              <c:numCache>
                <c:formatCode>General</c:formatCode>
                <c:ptCount val="1"/>
                <c:pt idx="0">
                  <c:v>40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7EC-4632-8539-635D79E3E66C}"/>
            </c:ext>
          </c:extLst>
        </c:ser>
        <c:ser>
          <c:idx val="0"/>
          <c:order val="2"/>
          <c:tx>
            <c:strRef>
              <c:f>'4ElasticDemSup'!$AY$11</c:f>
              <c:strCache>
                <c:ptCount val="1"/>
                <c:pt idx="0">
                  <c:v>0,11</c:v>
                </c:pt>
              </c:strCache>
            </c:strRef>
          </c:tx>
          <c:marker>
            <c:symbol val="x"/>
            <c:size val="8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'4ElasticDemSup'!$AY$8</c:f>
              <c:numCache>
                <c:formatCode>General</c:formatCode>
                <c:ptCount val="1"/>
                <c:pt idx="0">
                  <c:v>45</c:v>
                </c:pt>
              </c:numCache>
            </c:numRef>
          </c:xVal>
          <c:yVal>
            <c:numRef>
              <c:f>'4ElasticDemSup'!$AY$7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7EC-4632-8539-635D79E3E66C}"/>
            </c:ext>
          </c:extLst>
        </c:ser>
        <c:ser>
          <c:idx val="3"/>
          <c:order val="3"/>
          <c:tx>
            <c:strRef>
              <c:f>'4ElasticDemSup'!$BA$11</c:f>
              <c:strCache>
                <c:ptCount val="1"/>
                <c:pt idx="0">
                  <c:v>0,43</c:v>
                </c:pt>
              </c:strCache>
            </c:strRef>
          </c:tx>
          <c:marker>
            <c:symbol val="square"/>
            <c:size val="8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'4ElasticDemSup'!$BA$8</c:f>
              <c:numCache>
                <c:formatCode>General</c:formatCode>
                <c:ptCount val="1"/>
                <c:pt idx="0">
                  <c:v>35</c:v>
                </c:pt>
              </c:numCache>
            </c:numRef>
          </c:xVal>
          <c:yVal>
            <c:numRef>
              <c:f>'4ElasticDemSup'!$BA$7</c:f>
              <c:numCache>
                <c:formatCode>General</c:formatCode>
                <c:ptCount val="1"/>
                <c:pt idx="0">
                  <c:v>60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7EC-4632-8539-635D79E3E66C}"/>
            </c:ext>
          </c:extLst>
        </c:ser>
        <c:ser>
          <c:idx val="4"/>
          <c:order val="4"/>
          <c:tx>
            <c:strRef>
              <c:f>'4ElasticDemSup'!$BB$11</c:f>
              <c:strCache>
                <c:ptCount val="1"/>
                <c:pt idx="0">
                  <c:v>0,67</c:v>
                </c:pt>
              </c:strCache>
            </c:strRef>
          </c:tx>
          <c:marker>
            <c:symbol val="square"/>
            <c:size val="9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'4ElasticDemSup'!$BB$8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'4ElasticDemSup'!$BB$7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7EC-4632-8539-635D79E3E66C}"/>
            </c:ext>
          </c:extLst>
        </c:ser>
        <c:ser>
          <c:idx val="5"/>
          <c:order val="5"/>
          <c:tx>
            <c:strRef>
              <c:f>'4ElasticDemSup'!$BC$11</c:f>
              <c:strCache>
                <c:ptCount val="1"/>
                <c:pt idx="0">
                  <c:v>1,00</c:v>
                </c:pt>
              </c:strCache>
            </c:strRef>
          </c:tx>
          <c:marker>
            <c:symbol val="square"/>
            <c:size val="9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'4ElasticDemSup'!$BC$8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'4ElasticDemSup'!$BC$7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7EC-4632-8539-635D79E3E66C}"/>
            </c:ext>
          </c:extLst>
        </c:ser>
        <c:ser>
          <c:idx val="6"/>
          <c:order val="6"/>
          <c:tx>
            <c:strRef>
              <c:f>'4ElasticDemSup'!$BD$11</c:f>
              <c:strCache>
                <c:ptCount val="1"/>
                <c:pt idx="0">
                  <c:v>1,50</c:v>
                </c:pt>
              </c:strCache>
            </c:strRef>
          </c:tx>
          <c:marker>
            <c:symbol val="square"/>
            <c:size val="9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'4ElasticDemSup'!$BD$8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'4ElasticDemSup'!$BD$7</c:f>
              <c:numCache>
                <c:formatCode>General</c:formatCode>
                <c:ptCount val="1"/>
                <c:pt idx="0">
                  <c:v>120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7EC-4632-8539-635D79E3E66C}"/>
            </c:ext>
          </c:extLst>
        </c:ser>
        <c:ser>
          <c:idx val="7"/>
          <c:order val="7"/>
          <c:tx>
            <c:strRef>
              <c:f>'4ElasticDemSup'!$BE$11</c:f>
              <c:strCache>
                <c:ptCount val="1"/>
                <c:pt idx="0">
                  <c:v>2,33</c:v>
                </c:pt>
              </c:strCache>
            </c:strRef>
          </c:tx>
          <c:spPr>
            <a:ln w="19050"/>
          </c:spPr>
          <c:marker>
            <c:symbol val="square"/>
            <c:size val="9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'4ElasticDemSup'!$BE$8</c:f>
              <c:numCache>
                <c:formatCode>General</c:formatCode>
                <c:ptCount val="1"/>
                <c:pt idx="0">
                  <c:v>15</c:v>
                </c:pt>
              </c:numCache>
            </c:numRef>
          </c:xVal>
          <c:yVal>
            <c:numRef>
              <c:f>'4ElasticDemSup'!$BE$7</c:f>
              <c:numCache>
                <c:formatCode>General</c:formatCode>
                <c:ptCount val="1"/>
                <c:pt idx="0">
                  <c:v>140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7EC-4632-8539-635D79E3E66C}"/>
            </c:ext>
          </c:extLst>
        </c:ser>
        <c:ser>
          <c:idx val="8"/>
          <c:order val="8"/>
          <c:tx>
            <c:strRef>
              <c:f>'4ElasticDemSup'!$BF$11</c:f>
              <c:strCache>
                <c:ptCount val="1"/>
                <c:pt idx="0">
                  <c:v>4,00</c:v>
                </c:pt>
              </c:strCache>
            </c:strRef>
          </c:tx>
          <c:marker>
            <c:symbol val="square"/>
            <c:size val="9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'4ElasticDemSup'!$BF$8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'4ElasticDemSup'!$BF$7</c:f>
              <c:numCache>
                <c:formatCode>General</c:formatCode>
                <c:ptCount val="1"/>
                <c:pt idx="0">
                  <c:v>160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97EC-4632-8539-635D79E3E66C}"/>
            </c:ext>
          </c:extLst>
        </c:ser>
        <c:ser>
          <c:idx val="9"/>
          <c:order val="9"/>
          <c:tx>
            <c:strRef>
              <c:f>'4ElasticDemSup'!$BG$11</c:f>
              <c:strCache>
                <c:ptCount val="1"/>
                <c:pt idx="0">
                  <c:v>9,00</c:v>
                </c:pt>
              </c:strCache>
            </c:strRef>
          </c:tx>
          <c:marker>
            <c:symbol val="square"/>
            <c:size val="9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'4ElasticDemSup'!$BG$8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'4ElasticDemSup'!$BG$7</c:f>
              <c:numCache>
                <c:formatCode>General</c:formatCode>
                <c:ptCount val="1"/>
                <c:pt idx="0">
                  <c:v>180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97EC-4632-8539-635D79E3E66C}"/>
            </c:ext>
          </c:extLst>
        </c:ser>
        <c:ser>
          <c:idx val="10"/>
          <c:order val="10"/>
          <c:tx>
            <c:strRef>
              <c:f>'4ElasticDemSup'!$BH$11</c:f>
              <c:strCache>
                <c:ptCount val="1"/>
                <c:pt idx="0">
                  <c:v>#DZIEL/0!</c:v>
                </c:pt>
              </c:strCache>
            </c:strRef>
          </c:tx>
          <c:marker>
            <c:symbol val="square"/>
            <c:size val="9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'4ElasticDemSup'!$BH$8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'4ElasticDemSup'!$BH$7</c:f>
              <c:numCache>
                <c:formatCode>General</c:formatCode>
                <c:ptCount val="1"/>
                <c:pt idx="0">
                  <c:v>200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97EC-4632-8539-635D79E3E66C}"/>
            </c:ext>
          </c:extLst>
        </c:ser>
        <c:ser>
          <c:idx val="11"/>
          <c:order val="11"/>
          <c:tx>
            <c:v>funkcja trendu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'4ElasticDemSup'!$AX$8:$BH$8</c:f>
              <c:numCache>
                <c:formatCode>General</c:formatCode>
                <c:ptCount val="11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0</c:v>
                </c:pt>
              </c:numCache>
            </c:numRef>
          </c:xVal>
          <c:yVal>
            <c:numRef>
              <c:f>'4ElasticDemSup'!$AX$7:$BH$7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97EC-4632-8539-635D79E3E66C}"/>
            </c:ext>
          </c:extLst>
        </c:ser>
        <c:ser>
          <c:idx val="12"/>
          <c:order val="12"/>
          <c:tx>
            <c:v>elastyczność popytu neutralna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'4ElasticDemSup'!$AW$16:$BB$16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</c:numCache>
            </c:numRef>
          </c:xVal>
          <c:yVal>
            <c:numRef>
              <c:f>'4ElasticDemSup'!$AW$15:$BB$15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97EC-4632-8539-635D79E3E66C}"/>
            </c:ext>
          </c:extLst>
        </c:ser>
        <c:axId val="103008128"/>
        <c:axId val="103009664"/>
      </c:scatterChart>
      <c:valAx>
        <c:axId val="103008128"/>
        <c:scaling>
          <c:orientation val="minMax"/>
        </c:scaling>
        <c:axPos val="b"/>
        <c:majorGridlines>
          <c:spPr>
            <a:ln>
              <a:solidFill>
                <a:schemeClr val="accent1"/>
              </a:solidFill>
              <a:prstDash val="sysDot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3009664"/>
        <c:crosses val="autoZero"/>
        <c:crossBetween val="midCat"/>
      </c:valAx>
      <c:valAx>
        <c:axId val="103009664"/>
        <c:scaling>
          <c:orientation val="minMax"/>
        </c:scaling>
        <c:axPos val="l"/>
        <c:majorGridlines>
          <c:spPr>
            <a:ln w="12700">
              <a:solidFill>
                <a:srgbClr val="808080">
                  <a:alpha val="30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crossAx val="103008128"/>
        <c:crosses val="autoZero"/>
        <c:crossBetween val="midCat"/>
      </c:valAx>
    </c:plotArea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price elasticity of demand and supply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6.3655074365704292E-2"/>
          <c:y val="0.15154967805341193"/>
          <c:w val="0.70932414698162727"/>
          <c:h val="0.64108591778394763"/>
        </c:manualLayout>
      </c:layout>
      <c:scatterChart>
        <c:scatterStyle val="smoothMarker"/>
        <c:ser>
          <c:idx val="0"/>
          <c:order val="0"/>
          <c:tx>
            <c:v>PD</c:v>
          </c:tx>
          <c:marker>
            <c:symbol val="squar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'4ElasticDemSup'!$K$40</c:f>
              <c:numCache>
                <c:formatCode>General</c:formatCode>
                <c:ptCount val="1"/>
                <c:pt idx="0">
                  <c:v>75</c:v>
                </c:pt>
              </c:numCache>
            </c:numRef>
          </c:xVal>
          <c:yVal>
            <c:numRef>
              <c:f>'4ElasticDemSup'!$K$39</c:f>
              <c:numCache>
                <c:formatCode>General</c:formatCode>
                <c:ptCount val="1"/>
                <c:pt idx="0">
                  <c:v>650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E11-4FD5-86B9-3180BD63B9E2}"/>
            </c:ext>
          </c:extLst>
        </c:ser>
        <c:ser>
          <c:idx val="1"/>
          <c:order val="1"/>
          <c:tx>
            <c:v>demand function</c:v>
          </c:tx>
          <c:spPr>
            <a:ln w="19050"/>
          </c:spPr>
          <c:marker>
            <c:symbol val="none"/>
          </c:marker>
          <c:xVal>
            <c:numRef>
              <c:f>'4ElasticDemSup'!$AY$20:$BE$20</c:f>
              <c:numCache>
                <c:formatCode>General</c:formatCode>
                <c:ptCount val="7"/>
                <c:pt idx="0">
                  <c:v>280</c:v>
                </c:pt>
                <c:pt idx="1">
                  <c:v>220</c:v>
                </c:pt>
                <c:pt idx="2">
                  <c:v>160</c:v>
                </c:pt>
                <c:pt idx="3">
                  <c:v>100</c:v>
                </c:pt>
                <c:pt idx="4">
                  <c:v>40</c:v>
                </c:pt>
                <c:pt idx="5">
                  <c:v>-20</c:v>
                </c:pt>
                <c:pt idx="6">
                  <c:v>-80</c:v>
                </c:pt>
              </c:numCache>
            </c:numRef>
          </c:xVal>
          <c:yVal>
            <c:numRef>
              <c:f>'4ElasticDemSup'!$AY$19:$BE$19</c:f>
              <c:numCache>
                <c:formatCode>General</c:formatCode>
                <c:ptCount val="7"/>
                <c:pt idx="0">
                  <c:v>240</c:v>
                </c:pt>
                <c:pt idx="1">
                  <c:v>360</c:v>
                </c:pt>
                <c:pt idx="2">
                  <c:v>480</c:v>
                </c:pt>
                <c:pt idx="3">
                  <c:v>600</c:v>
                </c:pt>
                <c:pt idx="4">
                  <c:v>720</c:v>
                </c:pt>
                <c:pt idx="5">
                  <c:v>840</c:v>
                </c:pt>
                <c:pt idx="6">
                  <c:v>960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E11-4FD5-86B9-3180BD63B9E2}"/>
            </c:ext>
          </c:extLst>
        </c:ser>
        <c:ser>
          <c:idx val="3"/>
          <c:order val="2"/>
          <c:tx>
            <c:v>supply function</c:v>
          </c:tx>
          <c:spPr>
            <a:ln w="19050"/>
          </c:spPr>
          <c:marker>
            <c:symbol val="none"/>
          </c:marker>
          <c:xVal>
            <c:numRef>
              <c:f>'4ElasticDemSup'!$AY$23:$BE$23</c:f>
              <c:numCache>
                <c:formatCode>General</c:formatCode>
                <c:ptCount val="7"/>
                <c:pt idx="0">
                  <c:v>-80</c:v>
                </c:pt>
                <c:pt idx="1">
                  <c:v>-20</c:v>
                </c:pt>
                <c:pt idx="2">
                  <c:v>40</c:v>
                </c:pt>
                <c:pt idx="3">
                  <c:v>100</c:v>
                </c:pt>
                <c:pt idx="4">
                  <c:v>160</c:v>
                </c:pt>
                <c:pt idx="5">
                  <c:v>220</c:v>
                </c:pt>
                <c:pt idx="6">
                  <c:v>280</c:v>
                </c:pt>
              </c:numCache>
            </c:numRef>
          </c:xVal>
          <c:yVal>
            <c:numRef>
              <c:f>'4ElasticDemSup'!$AY$22:$BE$22</c:f>
              <c:numCache>
                <c:formatCode>General</c:formatCode>
                <c:ptCount val="7"/>
                <c:pt idx="0">
                  <c:v>240</c:v>
                </c:pt>
                <c:pt idx="1">
                  <c:v>360</c:v>
                </c:pt>
                <c:pt idx="2">
                  <c:v>480</c:v>
                </c:pt>
                <c:pt idx="3">
                  <c:v>600</c:v>
                </c:pt>
                <c:pt idx="4">
                  <c:v>720</c:v>
                </c:pt>
                <c:pt idx="5">
                  <c:v>840</c:v>
                </c:pt>
                <c:pt idx="6">
                  <c:v>960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E11-4FD5-86B9-3180BD63B9E2}"/>
            </c:ext>
          </c:extLst>
        </c:ser>
        <c:ser>
          <c:idx val="2"/>
          <c:order val="3"/>
          <c:tx>
            <c:v>PS</c:v>
          </c:tx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1-4FD5-86B9-3180BD63B9E2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'4ElasticDemSup'!$O$40</c:f>
              <c:numCache>
                <c:formatCode>General</c:formatCode>
                <c:ptCount val="1"/>
                <c:pt idx="0">
                  <c:v>125</c:v>
                </c:pt>
              </c:numCache>
            </c:numRef>
          </c:xVal>
          <c:yVal>
            <c:numRef>
              <c:f>'4ElasticDemSup'!$K$39</c:f>
              <c:numCache>
                <c:formatCode>General</c:formatCode>
                <c:ptCount val="1"/>
                <c:pt idx="0">
                  <c:v>650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E11-4FD5-86B9-3180BD63B9E2}"/>
            </c:ext>
          </c:extLst>
        </c:ser>
        <c:axId val="103457152"/>
        <c:axId val="103459072"/>
      </c:scatterChart>
      <c:valAx>
        <c:axId val="103457152"/>
        <c:scaling>
          <c:orientation val="minMax"/>
          <c:min val="0"/>
        </c:scaling>
        <c:axPos val="b"/>
        <c:majorGridlines>
          <c:spPr>
            <a:ln>
              <a:solidFill>
                <a:srgbClr val="4F81BD">
                  <a:alpha val="33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Q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3459072"/>
        <c:crosses val="autoZero"/>
        <c:crossBetween val="midCat"/>
      </c:valAx>
      <c:valAx>
        <c:axId val="103459072"/>
        <c:scaling>
          <c:orientation val="minMax"/>
        </c:scaling>
        <c:axPos val="l"/>
        <c:majorGridlines>
          <c:spPr>
            <a:ln>
              <a:solidFill>
                <a:srgbClr val="4F81BD">
                  <a:alpha val="37000"/>
                </a:srgbClr>
              </a:solidFill>
              <a:prstDash val="sysDot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 sz="1400"/>
                  <a:t>P</a:t>
                </a:r>
              </a:p>
            </c:rich>
          </c:tx>
          <c:layout/>
        </c:title>
        <c:numFmt formatCode="General" sourceLinked="1"/>
        <c:tickLblPos val="nextTo"/>
        <c:crossAx val="103457152"/>
        <c:crosses val="autoZero"/>
        <c:crossBetween val="midCat"/>
      </c:valAx>
    </c:plotArea>
    <c:legend>
      <c:legendPos val="r"/>
      <c:layout/>
    </c:legend>
    <c:plotVisOnly val="1"/>
    <c:dispBlanksAs val="zero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Good</a:t>
            </a:r>
            <a:r>
              <a:rPr lang="pl-PL" baseline="0"/>
              <a:t> B</a:t>
            </a:r>
            <a:endParaRPr lang="pl-PL"/>
          </a:p>
        </c:rich>
      </c:tx>
      <c:overlay val="1"/>
    </c:title>
    <c:plotArea>
      <c:layout>
        <c:manualLayout>
          <c:layoutTarget val="inner"/>
          <c:xMode val="edge"/>
          <c:yMode val="edge"/>
          <c:x val="6.3655074365704292E-2"/>
          <c:y val="0.15154967805341193"/>
          <c:w val="0.70932414698162727"/>
          <c:h val="0.64108591778394763"/>
        </c:manualLayout>
      </c:layout>
      <c:scatterChart>
        <c:scatterStyle val="smoothMarker"/>
        <c:ser>
          <c:idx val="0"/>
          <c:order val="0"/>
          <c:tx>
            <c:v>D2</c:v>
          </c:tx>
          <c:marker>
            <c:symbol val="none"/>
          </c:marker>
          <c:xVal>
            <c:numRef>
              <c:f>'4ElasticDemSup'!$AX$43:$BH$43</c:f>
              <c:numCache>
                <c:formatCode>General</c:formatCode>
                <c:ptCount val="11"/>
                <c:pt idx="0">
                  <c:v>20</c:v>
                </c:pt>
                <c:pt idx="1">
                  <c:v>17.600000000000001</c:v>
                </c:pt>
                <c:pt idx="2">
                  <c:v>15.2</c:v>
                </c:pt>
                <c:pt idx="3">
                  <c:v>12.8</c:v>
                </c:pt>
                <c:pt idx="4">
                  <c:v>10.4</c:v>
                </c:pt>
                <c:pt idx="5">
                  <c:v>8</c:v>
                </c:pt>
                <c:pt idx="6">
                  <c:v>5.6</c:v>
                </c:pt>
                <c:pt idx="7">
                  <c:v>3.1999999999999993</c:v>
                </c:pt>
                <c:pt idx="8">
                  <c:v>0.80000000000000071</c:v>
                </c:pt>
                <c:pt idx="9">
                  <c:v>-1.6000000000000014</c:v>
                </c:pt>
                <c:pt idx="10">
                  <c:v>-4</c:v>
                </c:pt>
              </c:numCache>
            </c:numRef>
          </c:xVal>
          <c:yVal>
            <c:numRef>
              <c:f>'4ElasticDemSup'!$AX$41:$BH$41</c:f>
              <c:numCache>
                <c:formatCode>General</c:formatCode>
                <c:ptCount val="11"/>
                <c:pt idx="0">
                  <c:v>0</c:v>
                </c:pt>
                <c:pt idx="1">
                  <c:v>0.59999999999999964</c:v>
                </c:pt>
                <c:pt idx="2">
                  <c:v>1.2000000000000002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E17-4095-A46F-6F3627225EEF}"/>
            </c:ext>
          </c:extLst>
        </c:ser>
        <c:ser>
          <c:idx val="1"/>
          <c:order val="1"/>
          <c:tx>
            <c:v>D1</c:v>
          </c:tx>
          <c:marker>
            <c:symbol val="none"/>
          </c:marker>
          <c:xVal>
            <c:numRef>
              <c:f>'4ElasticDemSup'!$AX$42:$BH$42</c:f>
              <c:numCache>
                <c:formatCode>General</c:formatCode>
                <c:ptCount val="11"/>
                <c:pt idx="0">
                  <c:v>18</c:v>
                </c:pt>
                <c:pt idx="1">
                  <c:v>15.600000000000001</c:v>
                </c:pt>
                <c:pt idx="2">
                  <c:v>13.2</c:v>
                </c:pt>
                <c:pt idx="3">
                  <c:v>10.8</c:v>
                </c:pt>
                <c:pt idx="4">
                  <c:v>8.4</c:v>
                </c:pt>
                <c:pt idx="5">
                  <c:v>6</c:v>
                </c:pt>
                <c:pt idx="6">
                  <c:v>3.5999999999999996</c:v>
                </c:pt>
                <c:pt idx="7">
                  <c:v>1.1999999999999993</c:v>
                </c:pt>
                <c:pt idx="8">
                  <c:v>-1.1999999999999993</c:v>
                </c:pt>
                <c:pt idx="9">
                  <c:v>-3.6000000000000014</c:v>
                </c:pt>
                <c:pt idx="10">
                  <c:v>-6</c:v>
                </c:pt>
              </c:numCache>
            </c:numRef>
          </c:xVal>
          <c:yVal>
            <c:numRef>
              <c:f>'4ElasticDemSup'!$AX$41:$BH$41</c:f>
              <c:numCache>
                <c:formatCode>General</c:formatCode>
                <c:ptCount val="11"/>
                <c:pt idx="0">
                  <c:v>0</c:v>
                </c:pt>
                <c:pt idx="1">
                  <c:v>0.59999999999999964</c:v>
                </c:pt>
                <c:pt idx="2">
                  <c:v>1.2000000000000002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E17-4095-A46F-6F3627225EEF}"/>
            </c:ext>
          </c:extLst>
        </c:ser>
        <c:ser>
          <c:idx val="2"/>
          <c:order val="2"/>
          <c:tx>
            <c:v>S</c:v>
          </c:tx>
          <c:marker>
            <c:symbol val="none"/>
          </c:marker>
          <c:xVal>
            <c:numRef>
              <c:f>'4ElasticDemSup'!$AX$47:$BH$47</c:f>
              <c:numCache>
                <c:formatCode>General</c:formatCode>
                <c:ptCount val="11"/>
                <c:pt idx="0">
                  <c:v>-3</c:v>
                </c:pt>
                <c:pt idx="1">
                  <c:v>-1.2000000000000011</c:v>
                </c:pt>
                <c:pt idx="2">
                  <c:v>0.60000000000000053</c:v>
                </c:pt>
                <c:pt idx="3">
                  <c:v>2.3999999999999995</c:v>
                </c:pt>
                <c:pt idx="4">
                  <c:v>4.1999999999999993</c:v>
                </c:pt>
                <c:pt idx="5">
                  <c:v>6</c:v>
                </c:pt>
                <c:pt idx="6">
                  <c:v>7.8000000000000007</c:v>
                </c:pt>
                <c:pt idx="7">
                  <c:v>9.6000000000000014</c:v>
                </c:pt>
                <c:pt idx="8">
                  <c:v>11.399999999999999</c:v>
                </c:pt>
                <c:pt idx="9">
                  <c:v>13.200000000000003</c:v>
                </c:pt>
                <c:pt idx="10">
                  <c:v>15</c:v>
                </c:pt>
              </c:numCache>
            </c:numRef>
          </c:xVal>
          <c:yVal>
            <c:numRef>
              <c:f>'4ElasticDemSup'!$AX$46:$BH$46</c:f>
              <c:numCache>
                <c:formatCode>General</c:formatCode>
                <c:ptCount val="11"/>
                <c:pt idx="0">
                  <c:v>0</c:v>
                </c:pt>
                <c:pt idx="1">
                  <c:v>0.59999999999999964</c:v>
                </c:pt>
                <c:pt idx="2">
                  <c:v>1.2000000000000002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E17-4095-A46F-6F3627225EEF}"/>
            </c:ext>
          </c:extLst>
        </c:ser>
        <c:axId val="103494784"/>
        <c:axId val="103496320"/>
      </c:scatterChart>
      <c:valAx>
        <c:axId val="103494784"/>
        <c:scaling>
          <c:orientation val="minMax"/>
          <c:min val="0"/>
        </c:scaling>
        <c:axPos val="b"/>
        <c:majorGridlines>
          <c:spPr>
            <a:ln>
              <a:solidFill>
                <a:srgbClr val="4F81BD">
                  <a:alpha val="30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3496320"/>
        <c:crosses val="autoZero"/>
        <c:crossBetween val="midCat"/>
      </c:valAx>
      <c:valAx>
        <c:axId val="103496320"/>
        <c:scaling>
          <c:orientation val="minMax"/>
        </c:scaling>
        <c:axPos val="l"/>
        <c:majorGridlines>
          <c:spPr>
            <a:ln>
              <a:solidFill>
                <a:srgbClr val="4F81BD">
                  <a:alpha val="33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crossAx val="103494784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/>
              <a:t>demand function</a:t>
            </a:r>
            <a:endParaRPr lang="en-US" sz="1400"/>
          </a:p>
        </c:rich>
      </c:tx>
      <c:layout>
        <c:manualLayout>
          <c:xMode val="edge"/>
          <c:yMode val="edge"/>
          <c:x val="0.39917119695645842"/>
          <c:y val="2.4117140396210181E-2"/>
        </c:manualLayout>
      </c:layout>
    </c:title>
    <c:plotArea>
      <c:layout>
        <c:manualLayout>
          <c:layoutTarget val="inner"/>
          <c:xMode val="edge"/>
          <c:yMode val="edge"/>
          <c:x val="0.14162729658792886"/>
          <c:y val="7.4548702245552628E-2"/>
          <c:w val="0.6917128171478566"/>
          <c:h val="0.8326195683872849"/>
        </c:manualLayout>
      </c:layout>
      <c:scatterChart>
        <c:scatterStyle val="smoothMarker"/>
        <c:ser>
          <c:idx val="0"/>
          <c:order val="0"/>
          <c:tx>
            <c:v>demand function</c:v>
          </c:tx>
          <c:marker>
            <c:symbol val="none"/>
          </c:marker>
          <c:xVal>
            <c:numRef>
              <c:f>'5ElasticRevenue'!$AI$7:$AS$7</c:f>
              <c:numCache>
                <c:formatCode>General</c:formatCode>
                <c:ptCount val="11"/>
                <c:pt idx="0">
                  <c:v>0</c:v>
                </c:pt>
                <c:pt idx="1">
                  <c:v>800</c:v>
                </c:pt>
                <c:pt idx="2">
                  <c:v>1600</c:v>
                </c:pt>
                <c:pt idx="3">
                  <c:v>2400</c:v>
                </c:pt>
                <c:pt idx="4">
                  <c:v>3200</c:v>
                </c:pt>
                <c:pt idx="5">
                  <c:v>4000</c:v>
                </c:pt>
                <c:pt idx="6">
                  <c:v>4800</c:v>
                </c:pt>
                <c:pt idx="7">
                  <c:v>5600</c:v>
                </c:pt>
                <c:pt idx="8">
                  <c:v>6400</c:v>
                </c:pt>
                <c:pt idx="9">
                  <c:v>7200</c:v>
                </c:pt>
                <c:pt idx="10">
                  <c:v>8000</c:v>
                </c:pt>
              </c:numCache>
            </c:numRef>
          </c:xVal>
          <c:yVal>
            <c:numRef>
              <c:f>'5ElasticRevenue'!$AI$8:$AS$8</c:f>
              <c:numCache>
                <c:formatCode>General</c:formatCode>
                <c:ptCount val="11"/>
                <c:pt idx="0">
                  <c:v>320</c:v>
                </c:pt>
                <c:pt idx="1">
                  <c:v>288</c:v>
                </c:pt>
                <c:pt idx="2">
                  <c:v>256</c:v>
                </c:pt>
                <c:pt idx="3">
                  <c:v>224</c:v>
                </c:pt>
                <c:pt idx="4">
                  <c:v>192</c:v>
                </c:pt>
                <c:pt idx="5">
                  <c:v>160</c:v>
                </c:pt>
                <c:pt idx="6">
                  <c:v>128</c:v>
                </c:pt>
                <c:pt idx="7">
                  <c:v>96</c:v>
                </c:pt>
                <c:pt idx="8">
                  <c:v>64</c:v>
                </c:pt>
                <c:pt idx="9">
                  <c:v>32</c:v>
                </c:pt>
                <c:pt idx="10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A86-487F-94EA-25D0641338FD}"/>
            </c:ext>
          </c:extLst>
        </c:ser>
        <c:axId val="103137280"/>
        <c:axId val="103138816"/>
      </c:scatterChart>
      <c:valAx>
        <c:axId val="1031372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3138816"/>
        <c:crosses val="autoZero"/>
        <c:crossBetween val="midCat"/>
      </c:valAx>
      <c:valAx>
        <c:axId val="103138816"/>
        <c:scaling>
          <c:orientation val="minMax"/>
        </c:scaling>
        <c:axPos val="l"/>
        <c:majorGridlines>
          <c:spPr>
            <a:ln>
              <a:solidFill>
                <a:srgbClr val="4F81BD">
                  <a:alpha val="39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crossAx val="10313728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/>
              <a:t>Total</a:t>
            </a:r>
            <a:r>
              <a:rPr lang="pl-PL" sz="1400" baseline="0"/>
              <a:t> revenue</a:t>
            </a:r>
            <a:r>
              <a:rPr lang="pl-PL" sz="1400"/>
              <a:t> TR and</a:t>
            </a:r>
            <a:r>
              <a:rPr lang="pl-PL" sz="1400" baseline="0"/>
              <a:t> marginal revenue </a:t>
            </a:r>
            <a:r>
              <a:rPr lang="pl-PL" sz="1400"/>
              <a:t>MR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300386086551471"/>
          <c:y val="0.19538188976377938"/>
          <c:w val="0.66668440335743728"/>
          <c:h val="0.71178608923884512"/>
        </c:manualLayout>
      </c:layout>
      <c:scatterChart>
        <c:scatterStyle val="smoothMarker"/>
        <c:ser>
          <c:idx val="0"/>
          <c:order val="0"/>
          <c:tx>
            <c:v>revenue function TR</c:v>
          </c:tx>
          <c:marker>
            <c:symbol val="none"/>
          </c:marker>
          <c:xVal>
            <c:numRef>
              <c:f>'5ElasticRevenue'!$AI$7:$AS$7</c:f>
              <c:numCache>
                <c:formatCode>General</c:formatCode>
                <c:ptCount val="11"/>
                <c:pt idx="0">
                  <c:v>0</c:v>
                </c:pt>
                <c:pt idx="1">
                  <c:v>800</c:v>
                </c:pt>
                <c:pt idx="2">
                  <c:v>1600</c:v>
                </c:pt>
                <c:pt idx="3">
                  <c:v>2400</c:v>
                </c:pt>
                <c:pt idx="4">
                  <c:v>3200</c:v>
                </c:pt>
                <c:pt idx="5">
                  <c:v>4000</c:v>
                </c:pt>
                <c:pt idx="6">
                  <c:v>4800</c:v>
                </c:pt>
                <c:pt idx="7">
                  <c:v>5600</c:v>
                </c:pt>
                <c:pt idx="8">
                  <c:v>6400</c:v>
                </c:pt>
                <c:pt idx="9">
                  <c:v>7200</c:v>
                </c:pt>
                <c:pt idx="10">
                  <c:v>8000</c:v>
                </c:pt>
              </c:numCache>
            </c:numRef>
          </c:xVal>
          <c:yVal>
            <c:numRef>
              <c:f>'5ElasticRevenue'!$AI$9:$AS$9</c:f>
              <c:numCache>
                <c:formatCode>General</c:formatCode>
                <c:ptCount val="11"/>
                <c:pt idx="0">
                  <c:v>0</c:v>
                </c:pt>
                <c:pt idx="1">
                  <c:v>230400</c:v>
                </c:pt>
                <c:pt idx="2">
                  <c:v>409600</c:v>
                </c:pt>
                <c:pt idx="3">
                  <c:v>537600</c:v>
                </c:pt>
                <c:pt idx="4">
                  <c:v>614400</c:v>
                </c:pt>
                <c:pt idx="5">
                  <c:v>640000</c:v>
                </c:pt>
                <c:pt idx="6">
                  <c:v>614400</c:v>
                </c:pt>
                <c:pt idx="7">
                  <c:v>537600</c:v>
                </c:pt>
                <c:pt idx="8">
                  <c:v>409600</c:v>
                </c:pt>
                <c:pt idx="9">
                  <c:v>230400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FE3-4A40-943C-863D2A6B3021}"/>
            </c:ext>
          </c:extLst>
        </c:ser>
        <c:ser>
          <c:idx val="1"/>
          <c:order val="1"/>
          <c:tx>
            <c:v>point TRmax</c:v>
          </c:tx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'5ElasticRevenue'!$AK$12</c:f>
              <c:numCache>
                <c:formatCode>General</c:formatCode>
                <c:ptCount val="1"/>
                <c:pt idx="0">
                  <c:v>4000</c:v>
                </c:pt>
              </c:numCache>
            </c:numRef>
          </c:xVal>
          <c:yVal>
            <c:numRef>
              <c:f>'5ElasticRevenue'!$AK$13</c:f>
              <c:numCache>
                <c:formatCode>General</c:formatCode>
                <c:ptCount val="1"/>
                <c:pt idx="0">
                  <c:v>640000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FE3-4A40-943C-863D2A6B3021}"/>
            </c:ext>
          </c:extLst>
        </c:ser>
        <c:axId val="103701120"/>
        <c:axId val="103703296"/>
      </c:scatterChart>
      <c:valAx>
        <c:axId val="1037011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3703296"/>
        <c:crosses val="autoZero"/>
        <c:crossBetween val="midCat"/>
      </c:valAx>
      <c:valAx>
        <c:axId val="103703296"/>
        <c:scaling>
          <c:orientation val="minMax"/>
        </c:scaling>
        <c:axPos val="l"/>
        <c:majorGridlines>
          <c:spPr>
            <a:ln>
              <a:solidFill>
                <a:srgbClr val="4F81BD">
                  <a:alpha val="33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crossAx val="10370112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7"/>
  <c:chart>
    <c:title>
      <c:tx>
        <c:rich>
          <a:bodyPr/>
          <a:lstStyle/>
          <a:p>
            <a:pPr>
              <a:defRPr/>
            </a:pPr>
            <a:r>
              <a:rPr lang="pl-PL"/>
              <a:t>total revenue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total revenue</c:v>
          </c:tx>
          <c:xVal>
            <c:numRef>
              <c:f>'5ElasticRevenue'!$C$8:$C$15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'5ElasticRevenue'!$D$8:$D$15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C53-481E-97DB-021D907D8CCE}"/>
            </c:ext>
          </c:extLst>
        </c:ser>
        <c:axId val="103731968"/>
        <c:axId val="103733504"/>
      </c:scatterChart>
      <c:valAx>
        <c:axId val="1037319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3733504"/>
        <c:crosses val="autoZero"/>
        <c:crossBetween val="midCat"/>
      </c:valAx>
      <c:valAx>
        <c:axId val="103733504"/>
        <c:scaling>
          <c:orientation val="minMax"/>
        </c:scaling>
        <c:axPos val="l"/>
        <c:majorGridlines>
          <c:spPr>
            <a:ln>
              <a:solidFill>
                <a:srgbClr val="4F81BD">
                  <a:alpha val="39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crossAx val="10373196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smoothMarker"/>
        <c:ser>
          <c:idx val="0"/>
          <c:order val="0"/>
          <c:tx>
            <c:v>AR average revenue</c:v>
          </c:tx>
          <c:xVal>
            <c:numRef>
              <c:f>'5ElasticRevenue'!$C$8:$C$15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'5ElasticRevenue'!$E$8:$E$15</c:f>
              <c:numCache>
                <c:formatCode>General</c:formatCode>
                <c:ptCount val="8"/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E44-4882-9306-DA164A74E180}"/>
            </c:ext>
          </c:extLst>
        </c:ser>
        <c:ser>
          <c:idx val="1"/>
          <c:order val="1"/>
          <c:tx>
            <c:v>marginal revenue</c:v>
          </c:tx>
          <c:xVal>
            <c:numRef>
              <c:f>'5ElasticRevenue'!$C$8:$C$15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'5ElasticRevenue'!$F$8:$F$15</c:f>
              <c:numCache>
                <c:formatCode>General</c:formatCode>
                <c:ptCount val="8"/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-1</c:v>
                </c:pt>
                <c:pt idx="6">
                  <c:v>-3</c:v>
                </c:pt>
                <c:pt idx="7">
                  <c:v>-5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E44-4882-9306-DA164A74E180}"/>
            </c:ext>
          </c:extLst>
        </c:ser>
        <c:axId val="103574912"/>
        <c:axId val="103584896"/>
      </c:scatterChart>
      <c:valAx>
        <c:axId val="1035749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3584896"/>
        <c:crosses val="autoZero"/>
        <c:crossBetween val="midCat"/>
      </c:valAx>
      <c:valAx>
        <c:axId val="103584896"/>
        <c:scaling>
          <c:orientation val="minMax"/>
        </c:scaling>
        <c:axPos val="l"/>
        <c:majorGridlines>
          <c:spPr>
            <a:ln>
              <a:solidFill>
                <a:srgbClr val="4F81BD">
                  <a:alpha val="37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crossAx val="10357491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100"/>
              <a:t>Indifference Curve I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5988451443569572E-2"/>
          <c:y val="0.13970068310997549"/>
          <c:w val="0.5916587926509187"/>
          <c:h val="0.66561575498426961"/>
        </c:manualLayout>
      </c:layout>
      <c:scatterChart>
        <c:scatterStyle val="lineMarker"/>
        <c:ser>
          <c:idx val="0"/>
          <c:order val="0"/>
          <c:tx>
            <c:v>consumer baskets</c:v>
          </c:tx>
          <c:spPr>
            <a:ln w="28575">
              <a:noFill/>
            </a:ln>
          </c:spPr>
          <c:xVal>
            <c:numRef>
              <c:f>'6 I-BL-U'!$M$10:$Q$10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'6 I-BL-U'!$M$11:$Q$11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CBE-442A-882E-788DA4E05540}"/>
            </c:ext>
          </c:extLst>
        </c:ser>
        <c:axId val="103918592"/>
        <c:axId val="103924864"/>
      </c:scatterChart>
      <c:scatterChart>
        <c:scatterStyle val="smoothMarker"/>
        <c:ser>
          <c:idx val="1"/>
          <c:order val="1"/>
          <c:tx>
            <c:v>hyperbolic regression</c:v>
          </c:tx>
          <c:spPr>
            <a:ln w="15875"/>
          </c:spPr>
          <c:marker>
            <c:symbol val="triangle"/>
            <c:size val="3"/>
            <c:spPr>
              <a:solidFill>
                <a:srgbClr val="FFFF00"/>
              </a:solidFill>
            </c:spPr>
          </c:marker>
          <c:xVal>
            <c:numRef>
              <c:f>'6 I-BL-U'!$AH$13:$AL$13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'6 I-BL-U'!$AH$14:$AL$14</c:f>
              <c:numCache>
                <c:formatCode>General</c:formatCode>
                <c:ptCount val="5"/>
                <c:pt idx="0">
                  <c:v>5.9928722280886983</c:v>
                </c:pt>
                <c:pt idx="1">
                  <c:v>3.0546462513199573</c:v>
                </c:pt>
                <c:pt idx="2">
                  <c:v>2.0752375923970439</c:v>
                </c:pt>
                <c:pt idx="3">
                  <c:v>1.5855332629355867</c:v>
                </c:pt>
                <c:pt idx="4">
                  <c:v>1.2917106652587127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CBE-442A-882E-788DA4E05540}"/>
            </c:ext>
          </c:extLst>
        </c:ser>
        <c:axId val="103918592"/>
        <c:axId val="103924864"/>
      </c:scatterChart>
      <c:valAx>
        <c:axId val="1039185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3924864"/>
        <c:crosses val="autoZero"/>
        <c:crossBetween val="midCat"/>
      </c:valAx>
      <c:valAx>
        <c:axId val="103924864"/>
        <c:scaling>
          <c:orientation val="minMax"/>
        </c:scaling>
        <c:axPos val="l"/>
        <c:majorGridlines/>
        <c:numFmt formatCode="General" sourceLinked="1"/>
        <c:tickLblPos val="nextTo"/>
        <c:crossAx val="10391859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u="none" strike="noStrike" baseline="0">
                <a:effectLst/>
              </a:rPr>
              <a:t>Indifference curve I and budget line BL</a:t>
            </a:r>
            <a:endParaRPr lang="pl-PL" sz="1100"/>
          </a:p>
        </c:rich>
      </c:tx>
      <c:layout>
        <c:manualLayout>
          <c:xMode val="edge"/>
          <c:yMode val="edge"/>
          <c:x val="0.1239336381097869"/>
          <c:y val="2.45586888848196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08992192590475"/>
          <c:y val="0.15782165949030671"/>
          <c:w val="0.58483031807704333"/>
          <c:h val="0.72117090288413765"/>
        </c:manualLayout>
      </c:layout>
      <c:scatterChart>
        <c:scatterStyle val="lineMarker"/>
        <c:ser>
          <c:idx val="0"/>
          <c:order val="0"/>
          <c:tx>
            <c:strRef>
              <c:f>'6 I-BL-U'!$L$6</c:f>
              <c:strCache>
                <c:ptCount val="1"/>
                <c:pt idx="0">
                  <c:v>Frame 2 - What do we want to buy?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'6 I-BL-U'!$M$10:$Q$10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'6 I-BL-U'!$M$11:$Q$11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BCC6-4393-845A-72143372AA51}"/>
            </c:ext>
          </c:extLst>
        </c:ser>
        <c:ser>
          <c:idx val="1"/>
          <c:order val="1"/>
          <c:tx>
            <c:v>BL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trendline>
            <c:spPr>
              <a:ln w="28575" cap="rnd" cmpd="sng" algn="ctr">
                <a:solidFill>
                  <a:schemeClr val="accent5">
                    <a:lumMod val="75000"/>
                  </a:schemeClr>
                </a:solidFill>
                <a:prstDash val="solid"/>
                <a:round/>
              </a:ln>
              <a:effectLst/>
            </c:spPr>
            <c:trendlineType val="linear"/>
          </c:trendline>
          <c:xVal>
            <c:numRef>
              <c:f>'6 I-BL-U'!$C$23:$G$23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'6 I-BL-U'!$C$24:$G$24</c:f>
              <c:numCache>
                <c:formatCode>0.0</c:formatCode>
                <c:ptCount val="5"/>
                <c:pt idx="0">
                  <c:v>6</c:v>
                </c:pt>
                <c:pt idx="1">
                  <c:v>4.5</c:v>
                </c:pt>
                <c:pt idx="2">
                  <c:v>3</c:v>
                </c:pt>
                <c:pt idx="3">
                  <c:v>1.5</c:v>
                </c:pt>
                <c:pt idx="4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BCC6-4393-845A-72143372AA51}"/>
            </c:ext>
          </c:extLst>
        </c:ser>
        <c:axId val="103801216"/>
        <c:axId val="103803136"/>
      </c:scatterChart>
      <c:scatterChart>
        <c:scatterStyle val="smoothMarker"/>
        <c:ser>
          <c:idx val="2"/>
          <c:order val="2"/>
          <c:tx>
            <c:v>hyperbolic regression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'6 I-BL-U'!$AH$13:$AL$13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'6 I-BL-U'!$AH$14:$AL$14</c:f>
              <c:numCache>
                <c:formatCode>General</c:formatCode>
                <c:ptCount val="5"/>
                <c:pt idx="0">
                  <c:v>5.9928722280886983</c:v>
                </c:pt>
                <c:pt idx="1">
                  <c:v>3.0546462513199573</c:v>
                </c:pt>
                <c:pt idx="2">
                  <c:v>2.0752375923970439</c:v>
                </c:pt>
                <c:pt idx="3">
                  <c:v>1.5855332629355867</c:v>
                </c:pt>
                <c:pt idx="4">
                  <c:v>1.2917106652587127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CC6-4393-845A-72143372AA51}"/>
            </c:ext>
          </c:extLst>
        </c:ser>
        <c:axId val="103801216"/>
        <c:axId val="103803136"/>
      </c:scatterChart>
      <c:valAx>
        <c:axId val="103801216"/>
        <c:scaling>
          <c:orientation val="minMax"/>
        </c:scaling>
        <c:axPos val="b"/>
        <c:majorGridlines>
          <c:spPr>
            <a:ln w="9525" cap="flat" cmpd="sng" algn="ctr">
              <a:solidFill>
                <a:srgbClr val="4F81BD">
                  <a:alpha val="40000"/>
                </a:srgbClr>
              </a:solidFill>
              <a:prstDash val="sysDot"/>
              <a:round/>
            </a:ln>
            <a:effectLst/>
          </c:spPr>
        </c:majorGridlines>
        <c:numFmt formatCode="General" sourceLinked="1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3803136"/>
        <c:crosses val="autoZero"/>
        <c:crossBetween val="midCat"/>
      </c:valAx>
      <c:valAx>
        <c:axId val="103803136"/>
        <c:scaling>
          <c:orientation val="minMax"/>
        </c:scaling>
        <c:axPos val="l"/>
        <c:majorGridlines>
          <c:spPr>
            <a:ln w="9525" cap="flat" cmpd="sng" algn="ctr">
              <a:solidFill>
                <a:srgbClr val="4F81BD">
                  <a:alpha val="38000"/>
                </a:srgbClr>
              </a:solidFill>
              <a:prstDash val="sysDot"/>
              <a:round/>
            </a:ln>
            <a:effectLst/>
          </c:spPr>
        </c:majorGridlines>
        <c:numFmt formatCode="General" sourceLinked="1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38012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78648035614663658"/>
          <c:y val="8.7843496307147634E-2"/>
          <c:w val="0.21087295614439086"/>
          <c:h val="0.91201367270951605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200" b="1" i="0" baseline="0"/>
              <a:t>utility U(Qx) and MU(Qx)</a:t>
            </a:r>
            <a:endParaRPr lang="pl-PL" sz="1200"/>
          </a:p>
        </c:rich>
      </c:tx>
      <c:layout>
        <c:manualLayout>
          <c:xMode val="edge"/>
          <c:yMode val="edge"/>
          <c:x val="0.10642360614014162"/>
          <c:y val="4.6296316408724773E-2"/>
        </c:manualLayout>
      </c:layout>
    </c:title>
    <c:plotArea>
      <c:layout/>
      <c:scatterChart>
        <c:scatterStyle val="lineMarker"/>
        <c:ser>
          <c:idx val="0"/>
          <c:order val="0"/>
          <c:tx>
            <c:v>utility Qx</c:v>
          </c:tx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layout>
                <c:manualLayout>
                  <c:x val="0.441981808800256"/>
                  <c:y val="-0.15226548812771895"/>
                </c:manualLayout>
              </c:layout>
              <c:numFmt formatCode="General" sourceLinked="0"/>
            </c:trendlineLbl>
          </c:trendline>
          <c:xVal>
            <c:numRef>
              <c:f>'6 I-BL-U'!$E$39:$I$39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'6 I-BL-U'!$E$38:$I$38</c:f>
              <c:numCache>
                <c:formatCode>0.0</c:formatCode>
                <c:ptCount val="5"/>
                <c:pt idx="0">
                  <c:v>2</c:v>
                </c:pt>
                <c:pt idx="1">
                  <c:v>3.1</c:v>
                </c:pt>
                <c:pt idx="2">
                  <c:v>4.2</c:v>
                </c:pt>
                <c:pt idx="3">
                  <c:v>5.2</c:v>
                </c:pt>
                <c:pt idx="4">
                  <c:v>5.3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6237-4C94-92A6-C76A13A2B4CB}"/>
            </c:ext>
          </c:extLst>
        </c:ser>
        <c:axId val="103839232"/>
        <c:axId val="103840768"/>
      </c:scatterChart>
      <c:scatterChart>
        <c:scatterStyle val="smoothMarker"/>
        <c:ser>
          <c:idx val="1"/>
          <c:order val="1"/>
          <c:tx>
            <c:v>marginal utility Qx</c:v>
          </c:tx>
          <c:spPr>
            <a:ln w="15875"/>
          </c:spPr>
          <c:marker>
            <c:symbol val="square"/>
            <c:size val="5"/>
          </c:marker>
          <c:xVal>
            <c:numRef>
              <c:f>'6 I-BL-U'!$E$39:$H$39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'6 I-BL-U'!$E$45:$H$45</c:f>
              <c:numCache>
                <c:formatCode>General</c:formatCode>
                <c:ptCount val="4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9.9999999999999645E-2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237-4C94-92A6-C76A13A2B4CB}"/>
            </c:ext>
          </c:extLst>
        </c:ser>
        <c:axId val="103839232"/>
        <c:axId val="103840768"/>
      </c:scatterChart>
      <c:valAx>
        <c:axId val="103839232"/>
        <c:scaling>
          <c:orientation val="minMax"/>
        </c:scaling>
        <c:axPos val="b"/>
        <c:majorGridlines>
          <c:spPr>
            <a:ln>
              <a:solidFill>
                <a:srgbClr val="4F81BD">
                  <a:alpha val="42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03840768"/>
        <c:crosses val="autoZero"/>
        <c:crossBetween val="midCat"/>
      </c:valAx>
      <c:valAx>
        <c:axId val="103840768"/>
        <c:scaling>
          <c:orientation val="minMax"/>
        </c:scaling>
        <c:axPos val="l"/>
        <c:majorGridlines>
          <c:spPr>
            <a:ln>
              <a:solidFill>
                <a:srgbClr val="4F81BD">
                  <a:alpha val="38000"/>
                </a:srgbClr>
              </a:solidFill>
              <a:prstDash val="sysDot"/>
            </a:ln>
          </c:spPr>
        </c:majorGridlines>
        <c:numFmt formatCode="0.0" sourceLinked="1"/>
        <c:tickLblPos val="nextTo"/>
        <c:crossAx val="10383923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200"/>
              <a:t>utility U(Qy) and MU(Qy)</a:t>
            </a:r>
          </a:p>
        </c:rich>
      </c:tx>
      <c:layout>
        <c:manualLayout>
          <c:xMode val="edge"/>
          <c:yMode val="edge"/>
          <c:x val="8.1326349036879103E-2"/>
          <c:y val="4.1666801959033578E-2"/>
        </c:manualLayout>
      </c:layout>
    </c:title>
    <c:plotArea>
      <c:layout>
        <c:manualLayout>
          <c:layoutTarget val="inner"/>
          <c:xMode val="edge"/>
          <c:yMode val="edge"/>
          <c:x val="0.11365507436570428"/>
          <c:y val="0.16714129483814524"/>
          <c:w val="0.66066426071741069"/>
          <c:h val="0.71224919801691455"/>
        </c:manualLayout>
      </c:layout>
      <c:scatterChart>
        <c:scatterStyle val="lineMarker"/>
        <c:ser>
          <c:idx val="0"/>
          <c:order val="0"/>
          <c:tx>
            <c:v>series1</c:v>
          </c:tx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layout>
                <c:manualLayout>
                  <c:x val="0.38423662084612303"/>
                  <c:y val="-0.15881585469044482"/>
                </c:manualLayout>
              </c:layout>
              <c:numFmt formatCode="General" sourceLinked="0"/>
            </c:trendlineLbl>
          </c:trendline>
          <c:xVal>
            <c:numRef>
              <c:f>'6 I-BL-U'!$E$40:$I$40</c:f>
              <c:numCache>
                <c:formatCode>0.0</c:formatCode>
                <c:ptCount val="5"/>
                <c:pt idx="0">
                  <c:v>6</c:v>
                </c:pt>
                <c:pt idx="1">
                  <c:v>4.5</c:v>
                </c:pt>
                <c:pt idx="2">
                  <c:v>3</c:v>
                </c:pt>
                <c:pt idx="3">
                  <c:v>1.5</c:v>
                </c:pt>
                <c:pt idx="4">
                  <c:v>0</c:v>
                </c:pt>
              </c:numCache>
            </c:numRef>
          </c:xVal>
          <c:yVal>
            <c:numRef>
              <c:f>'6 I-BL-U'!$E$41:$I$41</c:f>
              <c:numCache>
                <c:formatCode>0.0</c:formatCode>
                <c:ptCount val="5"/>
                <c:pt idx="0">
                  <c:v>4.9000000000000004</c:v>
                </c:pt>
                <c:pt idx="1">
                  <c:v>5.4</c:v>
                </c:pt>
                <c:pt idx="2">
                  <c:v>4.0999999999999996</c:v>
                </c:pt>
                <c:pt idx="3">
                  <c:v>2.5</c:v>
                </c:pt>
                <c:pt idx="4">
                  <c:v>1.9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36F0-41C8-9BAA-BE54B589029F}"/>
            </c:ext>
          </c:extLst>
        </c:ser>
        <c:axId val="117773824"/>
        <c:axId val="117775360"/>
      </c:scatterChart>
      <c:scatterChart>
        <c:scatterStyle val="smoothMarker"/>
        <c:ser>
          <c:idx val="1"/>
          <c:order val="1"/>
          <c:tx>
            <c:v>marginal utility Qy</c:v>
          </c:tx>
          <c:spPr>
            <a:ln w="15875"/>
          </c:spPr>
          <c:xVal>
            <c:numRef>
              <c:f>'6 I-BL-U'!$F$40:$I$40</c:f>
              <c:numCache>
                <c:formatCode>0.0</c:formatCode>
                <c:ptCount val="4"/>
                <c:pt idx="0">
                  <c:v>4.5</c:v>
                </c:pt>
                <c:pt idx="1">
                  <c:v>3</c:v>
                </c:pt>
                <c:pt idx="2">
                  <c:v>1.5</c:v>
                </c:pt>
                <c:pt idx="3">
                  <c:v>0</c:v>
                </c:pt>
              </c:numCache>
            </c:numRef>
          </c:xVal>
          <c:yVal>
            <c:numRef>
              <c:f>'6 I-BL-U'!$F$46:$I$46</c:f>
              <c:numCache>
                <c:formatCode>0.00</c:formatCode>
                <c:ptCount val="4"/>
                <c:pt idx="0">
                  <c:v>-0.33333333333333331</c:v>
                </c:pt>
                <c:pt idx="1">
                  <c:v>0.86666666666666714</c:v>
                </c:pt>
                <c:pt idx="2">
                  <c:v>1.0666666666666664</c:v>
                </c:pt>
                <c:pt idx="3">
                  <c:v>0.40000000000000008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6F0-41C8-9BAA-BE54B589029F}"/>
            </c:ext>
          </c:extLst>
        </c:ser>
        <c:axId val="117773824"/>
        <c:axId val="117775360"/>
      </c:scatterChart>
      <c:valAx>
        <c:axId val="117773824"/>
        <c:scaling>
          <c:orientation val="minMax"/>
        </c:scaling>
        <c:axPos val="b"/>
        <c:majorGridlines>
          <c:spPr>
            <a:ln>
              <a:solidFill>
                <a:srgbClr val="4F81BD">
                  <a:alpha val="43000"/>
                </a:srgbClr>
              </a:solidFill>
              <a:prstDash val="sysDot"/>
            </a:ln>
          </c:spPr>
        </c:majorGridlines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17775360"/>
        <c:crosses val="autoZero"/>
        <c:crossBetween val="midCat"/>
      </c:valAx>
      <c:valAx>
        <c:axId val="117775360"/>
        <c:scaling>
          <c:orientation val="minMax"/>
        </c:scaling>
        <c:axPos val="l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numFmt formatCode="0.0" sourceLinked="1"/>
        <c:tickLblPos val="nextTo"/>
        <c:crossAx val="11777382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000"/>
              <a:t>marginal utility additional baskets MU(Qx) and MU(Qy)</a:t>
            </a:r>
          </a:p>
        </c:rich>
      </c:tx>
      <c:layout>
        <c:manualLayout>
          <c:xMode val="edge"/>
          <c:yMode val="edge"/>
          <c:x val="8.1326249881415444E-2"/>
          <c:y val="4.1666744319681925E-2"/>
        </c:manualLayout>
      </c:layout>
    </c:title>
    <c:plotArea>
      <c:layout>
        <c:manualLayout>
          <c:layoutTarget val="inner"/>
          <c:xMode val="edge"/>
          <c:yMode val="edge"/>
          <c:x val="9.4210629921259864E-2"/>
          <c:y val="0.16714129483814524"/>
          <c:w val="0.66066426071741069"/>
          <c:h val="0.71224919801691455"/>
        </c:manualLayout>
      </c:layout>
      <c:scatterChart>
        <c:scatterStyle val="smoothMarker"/>
        <c:ser>
          <c:idx val="2"/>
          <c:order val="0"/>
          <c:tx>
            <c:strRef>
              <c:f>'6 I-BL-U'!$N$78</c:f>
              <c:strCache>
                <c:ptCount val="1"/>
                <c:pt idx="0">
                  <c:v>MU(Qx)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diamond"/>
            <c:size val="6"/>
          </c:marker>
          <c:xVal>
            <c:numRef>
              <c:f>'6 I-BL-U'!$P$76:$U$76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xVal>
          <c:yVal>
            <c:numRef>
              <c:f>'6 I-BL-U'!$P$78:$U$78</c:f>
              <c:numCache>
                <c:formatCode>0.0</c:formatCode>
                <c:ptCount val="6"/>
                <c:pt idx="0">
                  <c:v>1.3200000000000003</c:v>
                </c:pt>
                <c:pt idx="1">
                  <c:v>1.0199999999999996</c:v>
                </c:pt>
                <c:pt idx="2">
                  <c:v>0.72000000000000064</c:v>
                </c:pt>
                <c:pt idx="3">
                  <c:v>0.41999999999999993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753-4EBB-B957-254BCDAEE889}"/>
            </c:ext>
          </c:extLst>
        </c:ser>
        <c:ser>
          <c:idx val="3"/>
          <c:order val="1"/>
          <c:tx>
            <c:strRef>
              <c:f>'6 I-BL-U'!$N$81</c:f>
              <c:strCache>
                <c:ptCount val="1"/>
                <c:pt idx="0">
                  <c:v>MU(Qy)</c:v>
                </c:pt>
              </c:strCache>
            </c:strRef>
          </c:tx>
          <c:spPr>
            <a:ln w="19050"/>
          </c:spPr>
          <c:marker>
            <c:symbol val="square"/>
            <c:size val="5"/>
          </c:marker>
          <c:xVal>
            <c:numRef>
              <c:f>'6 I-BL-U'!$O$79:$U$79</c:f>
              <c:numCache>
                <c:formatCode>General</c:formatCode>
                <c:ptCount val="7"/>
                <c:pt idx="0" formatCode="0.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xVal>
          <c:yVal>
            <c:numRef>
              <c:f>'6 I-BL-U'!$O$81:$U$81</c:f>
              <c:numCache>
                <c:formatCode>0.0</c:formatCode>
                <c:ptCount val="7"/>
                <c:pt idx="0">
                  <c:v>-0.20999999999999974</c:v>
                </c:pt>
                <c:pt idx="1">
                  <c:v>-0.36999999999999966</c:v>
                </c:pt>
                <c:pt idx="2">
                  <c:v>2.9999999999999954E-2</c:v>
                </c:pt>
                <c:pt idx="3">
                  <c:v>0.51000000000000012</c:v>
                </c:pt>
                <c:pt idx="4">
                  <c:v>0</c:v>
                </c:pt>
                <c:pt idx="5">
                  <c:v>0.83000000000000007</c:v>
                </c:pt>
                <c:pt idx="6">
                  <c:v>0.99000000000000021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753-4EBB-B957-254BCDAEE889}"/>
            </c:ext>
          </c:extLst>
        </c:ser>
        <c:axId val="117809536"/>
        <c:axId val="117811072"/>
      </c:scatterChart>
      <c:valAx>
        <c:axId val="117809536"/>
        <c:scaling>
          <c:orientation val="minMax"/>
        </c:scaling>
        <c:axPos val="b"/>
        <c:majorGridlines>
          <c:spPr>
            <a:ln>
              <a:solidFill>
                <a:srgbClr val="4F81BD">
                  <a:alpha val="37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17811072"/>
        <c:crosses val="autoZero"/>
        <c:crossBetween val="midCat"/>
        <c:majorUnit val="1"/>
      </c:valAx>
      <c:valAx>
        <c:axId val="117811072"/>
        <c:scaling>
          <c:orientation val="minMax"/>
        </c:scaling>
        <c:axPos val="l"/>
        <c:majorGridlines>
          <c:spPr>
            <a:ln>
              <a:solidFill>
                <a:srgbClr val="4F81BD">
                  <a:alpha val="38000"/>
                </a:srgbClr>
              </a:solidFill>
              <a:prstDash val="sysDot"/>
            </a:ln>
          </c:spPr>
        </c:majorGridlines>
        <c:numFmt formatCode="0.0" sourceLinked="1"/>
        <c:tickLblPos val="nextTo"/>
        <c:crossAx val="117809536"/>
        <c:crosses val="autoZero"/>
        <c:crossBetween val="midCat"/>
        <c:majorUnit val="1"/>
      </c:valAx>
    </c:plotArea>
    <c:legend>
      <c:legendPos val="r"/>
      <c:layout/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200"/>
              <a:t>regression of the budget line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3002405949257544E-2"/>
          <c:y val="0.17640055409740599"/>
          <c:w val="0.5825936132983377"/>
          <c:h val="0.7076195683872849"/>
        </c:manualLayout>
      </c:layout>
      <c:scatterChart>
        <c:scatterStyle val="lineMarker"/>
        <c:ser>
          <c:idx val="0"/>
          <c:order val="0"/>
          <c:tx>
            <c:v>series1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0.40808005249343826"/>
                  <c:y val="-0.59140419947506095"/>
                </c:manualLayout>
              </c:layout>
              <c:numFmt formatCode="General" sourceLinked="0"/>
            </c:trendlineLbl>
          </c:trendline>
          <c:xVal>
            <c:numRef>
              <c:f>'6 I-BL-U'!$G$78:$K$78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'6 I-BL-U'!$G$79:$K$79</c:f>
              <c:numCache>
                <c:formatCode>0.0</c:formatCode>
                <c:ptCount val="5"/>
                <c:pt idx="0">
                  <c:v>6</c:v>
                </c:pt>
                <c:pt idx="1">
                  <c:v>4.5</c:v>
                </c:pt>
                <c:pt idx="2">
                  <c:v>3</c:v>
                </c:pt>
                <c:pt idx="3">
                  <c:v>1.5</c:v>
                </c:pt>
                <c:pt idx="4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13A-4571-997E-B9776D54B61D}"/>
            </c:ext>
          </c:extLst>
        </c:ser>
        <c:axId val="119024256"/>
        <c:axId val="119042432"/>
      </c:scatterChart>
      <c:valAx>
        <c:axId val="119024256"/>
        <c:scaling>
          <c:orientation val="minMax"/>
        </c:scaling>
        <c:axPos val="b"/>
        <c:majorGridlines>
          <c:spPr>
            <a:ln>
              <a:solidFill>
                <a:srgbClr val="4F81BD">
                  <a:alpha val="46000"/>
                </a:srgbClr>
              </a:solidFill>
              <a:prstDash val="sysDot"/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19042432"/>
        <c:crosses val="autoZero"/>
        <c:crossBetween val="midCat"/>
      </c:valAx>
      <c:valAx>
        <c:axId val="119042432"/>
        <c:scaling>
          <c:orientation val="minMax"/>
        </c:scaling>
        <c:axPos val="l"/>
        <c:majorGridlines>
          <c:spPr>
            <a:ln>
              <a:solidFill>
                <a:srgbClr val="4F81BD">
                  <a:alpha val="37000"/>
                </a:srgbClr>
              </a:solidFill>
              <a:prstDash val="sysDot"/>
            </a:ln>
          </c:spPr>
        </c:majorGridlines>
        <c:numFmt formatCode="0.0" sourceLinked="1"/>
        <c:tickLblPos val="nextTo"/>
        <c:crossAx val="11902425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000" baseline="0"/>
              <a:t>Budget line and indifference curve             </a:t>
            </a:r>
          </a:p>
          <a:p>
            <a:pPr>
              <a:defRPr/>
            </a:pPr>
            <a:r>
              <a:rPr lang="pl-PL" sz="1000" baseline="0"/>
              <a:t> 1  and 2</a:t>
            </a:r>
          </a:p>
          <a:p>
            <a:pPr>
              <a:defRPr/>
            </a:pPr>
            <a:endParaRPr lang="pl-PL" sz="1100"/>
          </a:p>
        </c:rich>
      </c:tx>
      <c:layout/>
    </c:title>
    <c:plotArea>
      <c:layout>
        <c:manualLayout>
          <c:layoutTarget val="inner"/>
          <c:xMode val="edge"/>
          <c:yMode val="edge"/>
          <c:x val="8.763168434273888E-2"/>
          <c:y val="9.6090973944644706E-2"/>
          <c:w val="0.67982212223472671"/>
          <c:h val="0.84187807495722955"/>
        </c:manualLayout>
      </c:layout>
      <c:scatterChart>
        <c:scatterStyle val="smoothMarker"/>
        <c:ser>
          <c:idx val="0"/>
          <c:order val="0"/>
          <c:tx>
            <c:v>Budget line 1</c:v>
          </c:tx>
          <c:spPr>
            <a:ln w="2222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'7 BL-I'!$AJ$20:$AO$20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'7 BL-I'!$AJ$21:$AO$21</c:f>
              <c:numCache>
                <c:formatCode>General</c:formatCode>
                <c:ptCount val="6"/>
                <c:pt idx="0">
                  <c:v>33.333333333333336</c:v>
                </c:pt>
                <c:pt idx="1">
                  <c:v>26.666666666666668</c:v>
                </c:pt>
                <c:pt idx="2">
                  <c:v>20</c:v>
                </c:pt>
                <c:pt idx="3">
                  <c:v>13.333333333333336</c:v>
                </c:pt>
                <c:pt idx="4">
                  <c:v>6.6666666666666679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889-4860-807B-C921DFE4193E}"/>
            </c:ext>
          </c:extLst>
        </c:ser>
        <c:ser>
          <c:idx val="1"/>
          <c:order val="1"/>
          <c:tx>
            <c:v>Indifference curve 1</c:v>
          </c:tx>
          <c:spPr>
            <a:ln w="2222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'7 BL-I'!$AJ$25:$AO$25</c:f>
              <c:numCache>
                <c:formatCode>General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55.000000000000007</c:v>
                </c:pt>
                <c:pt idx="5">
                  <c:v>60</c:v>
                </c:pt>
              </c:numCache>
            </c:numRef>
          </c:xVal>
          <c:yVal>
            <c:numRef>
              <c:f>'7 BL-I'!$AJ$26:$AO$26</c:f>
              <c:numCache>
                <c:formatCode>General</c:formatCode>
                <c:ptCount val="6"/>
                <c:pt idx="0">
                  <c:v>23.80952380952381</c:v>
                </c:pt>
                <c:pt idx="1">
                  <c:v>20.833333333333336</c:v>
                </c:pt>
                <c:pt idx="2">
                  <c:v>18.518518518518519</c:v>
                </c:pt>
                <c:pt idx="3">
                  <c:v>16.666666666666668</c:v>
                </c:pt>
                <c:pt idx="4">
                  <c:v>15.15151515151515</c:v>
                </c:pt>
                <c:pt idx="5">
                  <c:v>13.888888888888889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889-4860-807B-C921DFE4193E}"/>
            </c:ext>
          </c:extLst>
        </c:ser>
        <c:ser>
          <c:idx val="3"/>
          <c:order val="2"/>
          <c:tx>
            <c:v>Budget line 2</c:v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'7 BL-I'!$AJ$47:$AO$47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'7 BL-I'!$AJ$48:$AO$48</c:f>
              <c:numCache>
                <c:formatCode>General</c:formatCode>
                <c:ptCount val="6"/>
                <c:pt idx="0">
                  <c:v>28.571428571428573</c:v>
                </c:pt>
                <c:pt idx="1">
                  <c:v>22.857142857142858</c:v>
                </c:pt>
                <c:pt idx="2">
                  <c:v>17.142857142857146</c:v>
                </c:pt>
                <c:pt idx="3">
                  <c:v>11.428571428571431</c:v>
                </c:pt>
                <c:pt idx="4">
                  <c:v>5.7142857142857153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889-4860-807B-C921DFE4193E}"/>
            </c:ext>
          </c:extLst>
        </c:ser>
        <c:ser>
          <c:idx val="4"/>
          <c:order val="3"/>
          <c:tx>
            <c:v>Indifference curve 2</c:v>
          </c:tx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'7 BL-I'!$AJ$52:$AO$52</c:f>
              <c:numCache>
                <c:formatCode>General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55.000000000000007</c:v>
                </c:pt>
                <c:pt idx="5">
                  <c:v>60</c:v>
                </c:pt>
              </c:numCache>
            </c:numRef>
          </c:xVal>
          <c:yVal>
            <c:numRef>
              <c:f>'7 BL-I'!$AJ$53:$AO$53</c:f>
              <c:numCache>
                <c:formatCode>General</c:formatCode>
                <c:ptCount val="6"/>
                <c:pt idx="0">
                  <c:v>20.408163265306126</c:v>
                </c:pt>
                <c:pt idx="1">
                  <c:v>17.857142857142858</c:v>
                </c:pt>
                <c:pt idx="2">
                  <c:v>15.873015873015873</c:v>
                </c:pt>
                <c:pt idx="3">
                  <c:v>14.285714285714286</c:v>
                </c:pt>
                <c:pt idx="4">
                  <c:v>12.987012987012987</c:v>
                </c:pt>
                <c:pt idx="5">
                  <c:v>11.904761904761905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889-4860-807B-C921DFE4193E}"/>
            </c:ext>
          </c:extLst>
        </c:ser>
        <c:ser>
          <c:idx val="5"/>
          <c:order val="4"/>
          <c:tx>
            <c:v>Consumer equilibrium E2</c:v>
          </c:tx>
          <c:marker>
            <c:symbol val="none"/>
          </c:marker>
          <c:dLbls>
            <c:dLbl>
              <c:idx val="0"/>
              <c:layout>
                <c:manualLayout>
                  <c:x val="2.2988505747126436E-2"/>
                  <c:y val="-1.379547973183328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pl-PL"/>
                      <a:t>Consumer equilibrium E2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9-4860-807B-C921DFE4193E}"/>
                </c:ext>
              </c:extLst>
            </c:dLbl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'7 BL-I'!$AJ$39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'7 BL-I'!$AJ$43</c:f>
              <c:numCache>
                <c:formatCode>General</c:formatCode>
                <c:ptCount val="1"/>
                <c:pt idx="0">
                  <c:v>14.285714285714286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889-4860-807B-C921DFE4193E}"/>
            </c:ext>
          </c:extLst>
        </c:ser>
        <c:ser>
          <c:idx val="6"/>
          <c:order val="5"/>
          <c:spPr>
            <a:ln w="22225">
              <a:prstDash val="sysDash"/>
            </a:ln>
          </c:spPr>
          <c:marker>
            <c:symbol val="none"/>
          </c:marker>
          <c:xVal>
            <c:numRef>
              <c:f>'7 BL-I'!$AN$12:$AO$12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'7 BL-I'!$AN$13:$AO$13</c:f>
              <c:numCache>
                <c:formatCode>General</c:formatCode>
                <c:ptCount val="2"/>
                <c:pt idx="0">
                  <c:v>0</c:v>
                </c:pt>
                <c:pt idx="1">
                  <c:v>16.666666666666668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889-4860-807B-C921DFE4193E}"/>
            </c:ext>
          </c:extLst>
        </c:ser>
        <c:ser>
          <c:idx val="7"/>
          <c:order val="6"/>
          <c:tx>
            <c:v> </c:v>
          </c:tx>
          <c:spPr>
            <a:ln w="22225">
              <a:solidFill>
                <a:srgbClr val="0070C0">
                  <a:alpha val="47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'7 BL-I'!$AN$16:$AO$16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'7 BL-I'!$AN$15:$AO$15</c:f>
              <c:numCache>
                <c:formatCode>General</c:formatCode>
                <c:ptCount val="2"/>
                <c:pt idx="0">
                  <c:v>16.666666666666668</c:v>
                </c:pt>
                <c:pt idx="1">
                  <c:v>16.666666666666668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889-4860-807B-C921DFE4193E}"/>
            </c:ext>
          </c:extLst>
        </c:ser>
        <c:ser>
          <c:idx val="2"/>
          <c:order val="7"/>
          <c:tx>
            <c:v>Consumer equilibrium  E1</c:v>
          </c:tx>
          <c:marker>
            <c:symbol val="none"/>
          </c:marker>
          <c:dLbls>
            <c:dLbl>
              <c:idx val="0"/>
              <c:layout>
                <c:manualLayout>
                  <c:x val="2.2988505747126436E-2"/>
                  <c:y val="-3.035005541003319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pl-PL"/>
                      <a:t>Consumer</a:t>
                    </a:r>
                    <a:r>
                      <a:rPr lang="pl-PL" baseline="0"/>
                      <a:t> equilibrium</a:t>
                    </a:r>
                    <a:r>
                      <a:rPr lang="pl-PL"/>
                      <a:t>  E1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4E-49EB-B18F-C8F0E7295247}"/>
                </c:ext>
              </c:extLst>
            </c:dLbl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'7 BL-I'!$AJ$12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'7 BL-I'!$AJ$16</c:f>
              <c:numCache>
                <c:formatCode>General</c:formatCode>
                <c:ptCount val="1"/>
                <c:pt idx="0">
                  <c:v>16.666666666666668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E889-4860-807B-C921DFE4193E}"/>
            </c:ext>
          </c:extLst>
        </c:ser>
        <c:ser>
          <c:idx val="8"/>
          <c:order val="8"/>
          <c:spPr>
            <a:ln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'7 BL-I'!$AN$43:$AO$43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'7 BL-I'!$AN$42:$AO$42</c:f>
              <c:numCache>
                <c:formatCode>General</c:formatCode>
                <c:ptCount val="2"/>
                <c:pt idx="0">
                  <c:v>14.285714285714286</c:v>
                </c:pt>
                <c:pt idx="1">
                  <c:v>14.285714285714286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E889-4860-807B-C921DFE4193E}"/>
            </c:ext>
          </c:extLst>
        </c:ser>
        <c:ser>
          <c:idx val="9"/>
          <c:order val="9"/>
          <c:spPr>
            <a:ln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'7 BL-I'!$AN$39:$AO$39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'7 BL-I'!$AN$40:$AO$40</c:f>
              <c:numCache>
                <c:formatCode>General</c:formatCode>
                <c:ptCount val="2"/>
                <c:pt idx="0">
                  <c:v>0</c:v>
                </c:pt>
                <c:pt idx="1">
                  <c:v>14.285714285714286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E889-4860-807B-C921DFE4193E}"/>
            </c:ext>
          </c:extLst>
        </c:ser>
        <c:axId val="120322688"/>
        <c:axId val="120218368"/>
      </c:scatterChart>
      <c:valAx>
        <c:axId val="120322688"/>
        <c:scaling>
          <c:orientation val="minMax"/>
        </c:scaling>
        <c:axPos val="b"/>
        <c:majorGridlines>
          <c:spPr>
            <a:ln>
              <a:solidFill>
                <a:srgbClr val="4F81BD">
                  <a:alpha val="33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X</a:t>
                </a:r>
              </a:p>
            </c:rich>
          </c:tx>
          <c:layout>
            <c:manualLayout>
              <c:xMode val="edge"/>
              <c:yMode val="edge"/>
              <c:x val="0.81254100833168663"/>
              <c:y val="0.94202027904406682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0218368"/>
        <c:crosses val="autoZero"/>
        <c:crossBetween val="midCat"/>
      </c:valAx>
      <c:valAx>
        <c:axId val="120218368"/>
        <c:scaling>
          <c:orientation val="minMax"/>
        </c:scaling>
        <c:axPos val="l"/>
        <c:majorGridlines>
          <c:spPr>
            <a:ln>
              <a:solidFill>
                <a:srgbClr val="4F81BD">
                  <a:alpha val="30000"/>
                </a:srgbClr>
              </a:solidFill>
              <a:prstDash val="sysDot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 sz="1400"/>
                  <a:t>Y</a:t>
                </a:r>
              </a:p>
            </c:rich>
          </c:tx>
          <c:layout>
            <c:manualLayout>
              <c:xMode val="edge"/>
              <c:yMode val="edge"/>
              <c:x val="3.8094841843580654E-3"/>
              <c:y val="2.5210774968918381E-2"/>
            </c:manualLayout>
          </c:layout>
        </c:title>
        <c:numFmt formatCode="General" sourceLinked="1"/>
        <c:tickLblPos val="nextTo"/>
        <c:crossAx val="120322688"/>
        <c:crosses val="autoZero"/>
        <c:crossBetween val="midCat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212379991470678"/>
          <c:y val="0.37197601878712538"/>
          <c:w val="0.24065502380234174"/>
          <c:h val="0.29935493852742151"/>
        </c:manualLayout>
      </c:layout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100" b="1" i="0" u="none" strike="noStrike" baseline="0"/>
              <a:t>Budget lines and indifference curves</a:t>
            </a:r>
            <a:r>
              <a:rPr lang="pl-PL" sz="600" baseline="0"/>
              <a:t> </a:t>
            </a:r>
            <a:r>
              <a:rPr lang="pl-PL" sz="1000" baseline="0"/>
              <a:t>1 , 2, 3</a:t>
            </a:r>
          </a:p>
          <a:p>
            <a:pPr>
              <a:defRPr/>
            </a:pPr>
            <a:endParaRPr lang="pl-PL" sz="1100"/>
          </a:p>
        </c:rich>
      </c:tx>
      <c:layout/>
    </c:title>
    <c:plotArea>
      <c:layout>
        <c:manualLayout>
          <c:layoutTarget val="inner"/>
          <c:xMode val="edge"/>
          <c:yMode val="edge"/>
          <c:x val="8.8991451981179553E-2"/>
          <c:y val="9.0648595068211185E-2"/>
          <c:w val="0.79266060327918531"/>
          <c:h val="0.84370046454899961"/>
        </c:manualLayout>
      </c:layout>
      <c:scatterChart>
        <c:scatterStyle val="smoothMarker"/>
        <c:ser>
          <c:idx val="0"/>
          <c:order val="0"/>
          <c:tx>
            <c:v>LB1</c:v>
          </c:tx>
          <c:spPr>
            <a:ln w="25400" cmpd="sng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D7-4545-B072-39F0D8398E02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'8 PCC-D'!$AN$18:$AS$18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'8 PCC-D'!$AN$19:$AS$19</c:f>
              <c:numCache>
                <c:formatCode>General</c:formatCode>
                <c:ptCount val="6"/>
                <c:pt idx="0">
                  <c:v>166.66666666666666</c:v>
                </c:pt>
                <c:pt idx="1">
                  <c:v>133.33333333333331</c:v>
                </c:pt>
                <c:pt idx="2">
                  <c:v>99.999999999999986</c:v>
                </c:pt>
                <c:pt idx="3">
                  <c:v>66.666666666666657</c:v>
                </c:pt>
                <c:pt idx="4">
                  <c:v>33.333333333333314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9D7-4545-B072-39F0D8398E02}"/>
            </c:ext>
          </c:extLst>
        </c:ser>
        <c:ser>
          <c:idx val="1"/>
          <c:order val="1"/>
          <c:tx>
            <c:v>I1</c:v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'8 PCC-D'!$AN$23:$AS$23</c:f>
              <c:numCache>
                <c:formatCode>General</c:formatCode>
                <c:ptCount val="6"/>
                <c:pt idx="0">
                  <c:v>30.799999999999997</c:v>
                </c:pt>
                <c:pt idx="1">
                  <c:v>35.200000000000003</c:v>
                </c:pt>
                <c:pt idx="2">
                  <c:v>39.6</c:v>
                </c:pt>
                <c:pt idx="3">
                  <c:v>44</c:v>
                </c:pt>
                <c:pt idx="4">
                  <c:v>48.400000000000006</c:v>
                </c:pt>
                <c:pt idx="5">
                  <c:v>57.2</c:v>
                </c:pt>
              </c:numCache>
            </c:numRef>
          </c:xVal>
          <c:yVal>
            <c:numRef>
              <c:f>'8 PCC-D'!$AN$24:$AS$24</c:f>
              <c:numCache>
                <c:formatCode>General</c:formatCode>
                <c:ptCount val="6"/>
                <c:pt idx="0">
                  <c:v>124.76190476190477</c:v>
                </c:pt>
                <c:pt idx="1">
                  <c:v>111.66666666666666</c:v>
                </c:pt>
                <c:pt idx="2">
                  <c:v>101.48148148148148</c:v>
                </c:pt>
                <c:pt idx="3">
                  <c:v>93.333333333333329</c:v>
                </c:pt>
                <c:pt idx="4">
                  <c:v>86.666666666666657</c:v>
                </c:pt>
                <c:pt idx="5">
                  <c:v>76.410256410256409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9D7-4545-B072-39F0D8398E02}"/>
            </c:ext>
          </c:extLst>
        </c:ser>
        <c:ser>
          <c:idx val="3"/>
          <c:order val="2"/>
          <c:tx>
            <c:v>LB2</c:v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7-4545-B072-39F0D8398E02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'8 PCC-D'!$AN$45:$AS$45</c:f>
              <c:numCache>
                <c:formatCode>General</c:formatCode>
                <c:ptCount val="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</c:numCache>
            </c:numRef>
          </c:xVal>
          <c:yVal>
            <c:numRef>
              <c:f>'8 PCC-D'!$AN$46:$AS$46</c:f>
              <c:numCache>
                <c:formatCode>General</c:formatCode>
                <c:ptCount val="6"/>
                <c:pt idx="0">
                  <c:v>166.66666666666666</c:v>
                </c:pt>
                <c:pt idx="1">
                  <c:v>133.33333333333331</c:v>
                </c:pt>
                <c:pt idx="2">
                  <c:v>99.999999999999986</c:v>
                </c:pt>
                <c:pt idx="3">
                  <c:v>66.666666666666657</c:v>
                </c:pt>
                <c:pt idx="4">
                  <c:v>33.333333333333314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9D7-4545-B072-39F0D8398E02}"/>
            </c:ext>
          </c:extLst>
        </c:ser>
        <c:ser>
          <c:idx val="4"/>
          <c:order val="3"/>
          <c:tx>
            <c:v>I2</c:v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'8 PCC-D'!$AN$50:$AS$50</c:f>
              <c:numCache>
                <c:formatCode>General</c:formatCode>
                <c:ptCount val="6"/>
                <c:pt idx="0">
                  <c:v>22.75</c:v>
                </c:pt>
                <c:pt idx="1">
                  <c:v>26</c:v>
                </c:pt>
                <c:pt idx="2">
                  <c:v>29.25</c:v>
                </c:pt>
                <c:pt idx="3">
                  <c:v>32.5</c:v>
                </c:pt>
                <c:pt idx="4">
                  <c:v>35.75</c:v>
                </c:pt>
                <c:pt idx="5">
                  <c:v>42.25</c:v>
                </c:pt>
              </c:numCache>
            </c:numRef>
          </c:xVal>
          <c:yVal>
            <c:numRef>
              <c:f>'8 PCC-D'!$AN$51:$AS$51</c:f>
              <c:numCache>
                <c:formatCode>General</c:formatCode>
                <c:ptCount val="6"/>
                <c:pt idx="0">
                  <c:v>141.9047619047619</c:v>
                </c:pt>
                <c:pt idx="1">
                  <c:v>134.16666666666666</c:v>
                </c:pt>
                <c:pt idx="2">
                  <c:v>128.14814814814815</c:v>
                </c:pt>
                <c:pt idx="3">
                  <c:v>123.33333333333333</c:v>
                </c:pt>
                <c:pt idx="4">
                  <c:v>119.39393939393939</c:v>
                </c:pt>
                <c:pt idx="5">
                  <c:v>113.33333333333333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9D7-4545-B072-39F0D8398E02}"/>
            </c:ext>
          </c:extLst>
        </c:ser>
        <c:ser>
          <c:idx val="11"/>
          <c:order val="4"/>
          <c:tx>
            <c:v>LB3</c:v>
          </c:tx>
          <c:spPr>
            <a:ln w="571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D7-4545-B072-39F0D8398E02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'8 PCC-D'!$AN$72:$AS$72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'8 PCC-D'!$AN$73:$AS$73</c:f>
              <c:numCache>
                <c:formatCode>General</c:formatCode>
                <c:ptCount val="6"/>
                <c:pt idx="0">
                  <c:v>250</c:v>
                </c:pt>
                <c:pt idx="1">
                  <c:v>200</c:v>
                </c:pt>
                <c:pt idx="2">
                  <c:v>150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A9D7-4545-B072-39F0D8398E02}"/>
            </c:ext>
          </c:extLst>
        </c:ser>
        <c:ser>
          <c:idx val="12"/>
          <c:order val="5"/>
          <c:tx>
            <c:v>I4</c:v>
          </c:tx>
          <c:spPr>
            <a:ln w="508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'8 PCC-D'!$AN$77:$AS$77</c:f>
              <c:numCache>
                <c:formatCode>General</c:formatCode>
                <c:ptCount val="6"/>
                <c:pt idx="0">
                  <c:v>48.3</c:v>
                </c:pt>
                <c:pt idx="1">
                  <c:v>55.2</c:v>
                </c:pt>
                <c:pt idx="2">
                  <c:v>62.1</c:v>
                </c:pt>
                <c:pt idx="3">
                  <c:v>69</c:v>
                </c:pt>
                <c:pt idx="4">
                  <c:v>75.900000000000006</c:v>
                </c:pt>
                <c:pt idx="5">
                  <c:v>89.7</c:v>
                </c:pt>
              </c:numCache>
            </c:numRef>
          </c:xVal>
          <c:yVal>
            <c:numRef>
              <c:f>'8 PCC-D'!$AN$78:$AS$78</c:f>
              <c:numCache>
                <c:formatCode>General</c:formatCode>
                <c:ptCount val="6"/>
                <c:pt idx="0">
                  <c:v>184.28571428571431</c:v>
                </c:pt>
                <c:pt idx="1">
                  <c:v>163.75</c:v>
                </c:pt>
                <c:pt idx="2">
                  <c:v>147.77777777777777</c:v>
                </c:pt>
                <c:pt idx="3">
                  <c:v>135</c:v>
                </c:pt>
                <c:pt idx="4">
                  <c:v>124.54545454545453</c:v>
                </c:pt>
                <c:pt idx="5">
                  <c:v>108.46153846153845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A9D7-4545-B072-39F0D8398E02}"/>
            </c:ext>
          </c:extLst>
        </c:ser>
        <c:ser>
          <c:idx val="17"/>
          <c:order val="6"/>
          <c:tx>
            <c:v>PCC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D7-4545-B072-39F0D8398E02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'8 PCC-D'!$AT$83:$AW$83</c:f>
              <c:numCache>
                <c:formatCode>General</c:formatCode>
                <c:ptCount val="4"/>
                <c:pt idx="0">
                  <c:v>17.600000000000001</c:v>
                </c:pt>
                <c:pt idx="1">
                  <c:v>44</c:v>
                </c:pt>
                <c:pt idx="2">
                  <c:v>32.5</c:v>
                </c:pt>
                <c:pt idx="3">
                  <c:v>52</c:v>
                </c:pt>
              </c:numCache>
            </c:numRef>
          </c:xVal>
          <c:yVal>
            <c:numRef>
              <c:f>'8 PCC-D'!$AT$84:$AW$84</c:f>
              <c:numCache>
                <c:formatCode>General</c:formatCode>
                <c:ptCount val="4"/>
                <c:pt idx="0">
                  <c:v>162.20289855072463</c:v>
                </c:pt>
                <c:pt idx="1">
                  <c:v>93.333333333333329</c:v>
                </c:pt>
                <c:pt idx="2">
                  <c:v>123.33333333333333</c:v>
                </c:pt>
                <c:pt idx="3">
                  <c:v>72.463768115942031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A9D7-4545-B072-39F0D8398E02}"/>
            </c:ext>
          </c:extLst>
        </c:ser>
        <c:ser>
          <c:idx val="2"/>
          <c:order val="7"/>
          <c:tx>
            <c:v>  </c:v>
          </c:tx>
          <c:spPr>
            <a:ln w="1587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'8 PCC-D'!$AR$10:$AS$10</c:f>
              <c:numCache>
                <c:formatCode>General</c:formatCode>
                <c:ptCount val="2"/>
                <c:pt idx="0">
                  <c:v>44</c:v>
                </c:pt>
                <c:pt idx="1">
                  <c:v>44</c:v>
                </c:pt>
              </c:numCache>
            </c:numRef>
          </c:xVal>
          <c:yVal>
            <c:numRef>
              <c:f>'8 PCC-D'!$AR$11:$AS$11</c:f>
              <c:numCache>
                <c:formatCode>General</c:formatCode>
                <c:ptCount val="2"/>
                <c:pt idx="0">
                  <c:v>0</c:v>
                </c:pt>
                <c:pt idx="1">
                  <c:v>93.333333333333329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A9D7-4545-B072-39F0D8398E02}"/>
            </c:ext>
          </c:extLst>
        </c:ser>
        <c:ser>
          <c:idx val="5"/>
          <c:order val="8"/>
          <c:tx>
            <c:v>  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trendline>
            <c:trendlineType val="linear"/>
          </c:trendline>
          <c:trendline>
            <c:trendlineType val="linear"/>
          </c:trendline>
          <c:xVal>
            <c:numRef>
              <c:f>'8 PCC-D'!$AR$37:$AS$37</c:f>
              <c:numCache>
                <c:formatCode>General</c:formatCode>
                <c:ptCount val="2"/>
                <c:pt idx="0">
                  <c:v>32.5</c:v>
                </c:pt>
                <c:pt idx="1">
                  <c:v>32.5</c:v>
                </c:pt>
              </c:numCache>
            </c:numRef>
          </c:xVal>
          <c:yVal>
            <c:numRef>
              <c:f>'8 PCC-D'!$AR$38:$AS$38</c:f>
              <c:numCache>
                <c:formatCode>General</c:formatCode>
                <c:ptCount val="2"/>
                <c:pt idx="0">
                  <c:v>0</c:v>
                </c:pt>
                <c:pt idx="1">
                  <c:v>123.33333333333333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A9D7-4545-B072-39F0D8398E02}"/>
            </c:ext>
          </c:extLst>
        </c:ser>
        <c:ser>
          <c:idx val="6"/>
          <c:order val="9"/>
          <c:tx>
            <c:v>  </c:v>
          </c:tx>
          <c:spPr>
            <a:ln w="158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'8 PCC-D'!$AR$64:$AS$64</c:f>
              <c:numCache>
                <c:formatCode>General</c:formatCode>
                <c:ptCount val="2"/>
                <c:pt idx="0">
                  <c:v>69</c:v>
                </c:pt>
                <c:pt idx="1">
                  <c:v>69</c:v>
                </c:pt>
              </c:numCache>
            </c:numRef>
          </c:xVal>
          <c:yVal>
            <c:numRef>
              <c:f>'8 PCC-D'!$AR$65:$AS$65</c:f>
              <c:numCache>
                <c:formatCode>General</c:formatCode>
                <c:ptCount val="2"/>
                <c:pt idx="0">
                  <c:v>0</c:v>
                </c:pt>
                <c:pt idx="1">
                  <c:v>135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A9D7-4545-B072-39F0D8398E02}"/>
            </c:ext>
          </c:extLst>
        </c:ser>
        <c:ser>
          <c:idx val="7"/>
          <c:order val="10"/>
          <c:tx>
            <c:v>  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'8 PCC-D'!$AR$41:$AS$41</c:f>
              <c:numCache>
                <c:formatCode>General</c:formatCode>
                <c:ptCount val="2"/>
                <c:pt idx="0">
                  <c:v>0</c:v>
                </c:pt>
                <c:pt idx="1">
                  <c:v>32.5</c:v>
                </c:pt>
              </c:numCache>
            </c:numRef>
          </c:xVal>
          <c:yVal>
            <c:numRef>
              <c:f>'8 PCC-D'!$AR$40:$AS$40</c:f>
              <c:numCache>
                <c:formatCode>General</c:formatCode>
                <c:ptCount val="2"/>
                <c:pt idx="0">
                  <c:v>123.33333333333333</c:v>
                </c:pt>
                <c:pt idx="1">
                  <c:v>123.33333333333333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A9D7-4545-B072-39F0D8398E02}"/>
            </c:ext>
          </c:extLst>
        </c:ser>
        <c:ser>
          <c:idx val="8"/>
          <c:order val="11"/>
          <c:tx>
            <c:strRef>
              <c:f>'8 PCC-D'!$AR$14:$AS$14</c:f>
              <c:strCache>
                <c:ptCount val="1"/>
                <c:pt idx="0">
                  <c:v>0 44</c:v>
                </c:pt>
              </c:strCache>
            </c:strRef>
          </c:tx>
          <c:spPr>
            <a:ln w="1587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'8 PCC-D'!$AR$14:$AS$14</c:f>
              <c:numCache>
                <c:formatCode>General</c:formatCode>
                <c:ptCount val="2"/>
                <c:pt idx="0">
                  <c:v>0</c:v>
                </c:pt>
                <c:pt idx="1">
                  <c:v>44</c:v>
                </c:pt>
              </c:numCache>
            </c:numRef>
          </c:xVal>
          <c:yVal>
            <c:numRef>
              <c:f>'8 PCC-D'!$AR$13:$AS$13</c:f>
              <c:numCache>
                <c:formatCode>General</c:formatCode>
                <c:ptCount val="2"/>
                <c:pt idx="0">
                  <c:v>93.333333333333329</c:v>
                </c:pt>
                <c:pt idx="1">
                  <c:v>93.333333333333329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A9D7-4545-B072-39F0D8398E02}"/>
            </c:ext>
          </c:extLst>
        </c:ser>
        <c:ser>
          <c:idx val="9"/>
          <c:order val="12"/>
          <c:tx>
            <c:strRef>
              <c:f>'8 PCC-D'!$AR$68:$AS$68</c:f>
              <c:strCache>
                <c:ptCount val="1"/>
                <c:pt idx="0">
                  <c:v>0 69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'8 PCC-D'!$AR$68:$AS$68</c:f>
              <c:numCache>
                <c:formatCode>General</c:formatCode>
                <c:ptCount val="2"/>
                <c:pt idx="0">
                  <c:v>0</c:v>
                </c:pt>
                <c:pt idx="1">
                  <c:v>69</c:v>
                </c:pt>
              </c:numCache>
            </c:numRef>
          </c:xVal>
          <c:yVal>
            <c:numRef>
              <c:f>'8 PCC-D'!$AR$67:$AS$67</c:f>
              <c:numCache>
                <c:formatCode>General</c:formatCode>
                <c:ptCount val="2"/>
                <c:pt idx="0">
                  <c:v>135</c:v>
                </c:pt>
                <c:pt idx="1">
                  <c:v>135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A9D7-4545-B072-39F0D8398E02}"/>
            </c:ext>
          </c:extLst>
        </c:ser>
        <c:ser>
          <c:idx val="10"/>
          <c:order val="13"/>
          <c:tx>
            <c:v>E1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'8 PCC-D'!$D$20</c:f>
              <c:numCache>
                <c:formatCode>General</c:formatCode>
                <c:ptCount val="1"/>
                <c:pt idx="0">
                  <c:v>44</c:v>
                </c:pt>
              </c:numCache>
            </c:numRef>
          </c:xVal>
          <c:yVal>
            <c:numRef>
              <c:f>'8 PCC-D'!$F$20</c:f>
              <c:numCache>
                <c:formatCode>0.00</c:formatCode>
                <c:ptCount val="1"/>
                <c:pt idx="0">
                  <c:v>93.333333333333329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4-A9D7-4545-B072-39F0D8398E02}"/>
            </c:ext>
          </c:extLst>
        </c:ser>
        <c:ser>
          <c:idx val="13"/>
          <c:order val="14"/>
          <c:tx>
            <c:v>E2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dLblPos val="r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'8 PCC-D'!$C$37</c:f>
              <c:numCache>
                <c:formatCode>General</c:formatCode>
                <c:ptCount val="1"/>
                <c:pt idx="0">
                  <c:v>32.5</c:v>
                </c:pt>
              </c:numCache>
            </c:numRef>
          </c:xVal>
          <c:yVal>
            <c:numRef>
              <c:f>'8 PCC-D'!$E$37</c:f>
              <c:numCache>
                <c:formatCode>0.00</c:formatCode>
                <c:ptCount val="1"/>
                <c:pt idx="0">
                  <c:v>123.33333333333333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A9D7-4545-B072-39F0D8398E02}"/>
            </c:ext>
          </c:extLst>
        </c:ser>
        <c:ser>
          <c:idx val="14"/>
          <c:order val="15"/>
          <c:tx>
            <c:v>E3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75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'8 PCC-D'!$D$54</c:f>
              <c:numCache>
                <c:formatCode>General</c:formatCode>
                <c:ptCount val="1"/>
                <c:pt idx="0">
                  <c:v>69</c:v>
                </c:pt>
              </c:numCache>
            </c:numRef>
          </c:xVal>
          <c:yVal>
            <c:numRef>
              <c:f>'8 PCC-D'!$F$54</c:f>
              <c:numCache>
                <c:formatCode>0.00</c:formatCode>
                <c:ptCount val="1"/>
                <c:pt idx="0">
                  <c:v>135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6-A9D7-4545-B072-39F0D8398E02}"/>
            </c:ext>
          </c:extLst>
        </c:ser>
        <c:axId val="121718272"/>
        <c:axId val="121720192"/>
      </c:scatterChart>
      <c:valAx>
        <c:axId val="121718272"/>
        <c:scaling>
          <c:orientation val="minMax"/>
        </c:scaling>
        <c:axPos val="b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Q</a:t>
                </a:r>
                <a:r>
                  <a:rPr lang="pl-PL" sz="14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0.92393442622950961"/>
              <c:y val="0.94202017380842462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1720192"/>
        <c:crosses val="autoZero"/>
        <c:crossBetween val="midCat"/>
      </c:valAx>
      <c:valAx>
        <c:axId val="121720192"/>
        <c:scaling>
          <c:orientation val="minMax"/>
        </c:scaling>
        <c:axPos val="l"/>
        <c:majorGridlines>
          <c:spPr>
            <a:ln>
              <a:solidFill>
                <a:srgbClr val="4F81BD">
                  <a:alpha val="39000"/>
                </a:srgb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 sz="1400"/>
                  <a:t>Q</a:t>
                </a:r>
                <a:r>
                  <a:rPr lang="pl-PL" sz="1400" baseline="-25000"/>
                  <a:t>y</a:t>
                </a:r>
              </a:p>
            </c:rich>
          </c:tx>
          <c:layout>
            <c:manualLayout>
              <c:xMode val="edge"/>
              <c:yMode val="edge"/>
              <c:x val="3.8095391764554087E-3"/>
              <c:y val="2.5210743609299896E-2"/>
            </c:manualLayout>
          </c:layout>
        </c:title>
        <c:numFmt formatCode="General" sourceLinked="1"/>
        <c:tickLblPos val="nextTo"/>
        <c:crossAx val="121718272"/>
        <c:crosses val="autoZero"/>
        <c:crossBetween val="midCat"/>
      </c:valAx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9080925949830041"/>
          <c:y val="0.1306354713846308"/>
          <c:w val="7.0318725528161513E-2"/>
          <c:h val="0.33533452929570789"/>
        </c:manualLayout>
      </c:layout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800" b="1" i="0" u="none" strike="noStrike" baseline="0"/>
              <a:t>An individual demand curve for good </a:t>
            </a:r>
            <a:r>
              <a:rPr lang="pl-PL" baseline="0"/>
              <a:t>X</a:t>
            </a:r>
            <a:endParaRPr lang="pl-PL"/>
          </a:p>
        </c:rich>
      </c:tx>
      <c:layout/>
    </c:title>
    <c:plotArea>
      <c:layout>
        <c:manualLayout>
          <c:layoutTarget val="inner"/>
          <c:xMode val="edge"/>
          <c:yMode val="edge"/>
          <c:x val="7.9403550425552374E-2"/>
          <c:y val="0.18046127656298294"/>
          <c:w val="0.78710226608666256"/>
          <c:h val="0.68977450825116871"/>
        </c:manualLayout>
      </c:layout>
      <c:scatterChart>
        <c:scatterStyle val="smoothMarker"/>
        <c:ser>
          <c:idx val="0"/>
          <c:order val="0"/>
          <c:tx>
            <c:strRef>
              <c:f>'8 PCC-D'!$AM$91</c:f>
              <c:strCache>
                <c:ptCount val="1"/>
                <c:pt idx="0">
                  <c:v>M</c:v>
                </c:pt>
              </c:strCache>
            </c:strRef>
          </c:tx>
          <c:xVal>
            <c:numRef>
              <c:f>'8 PCC-D'!$AN$90:$AQ$90</c:f>
              <c:numCache>
                <c:formatCode>General</c:formatCode>
                <c:ptCount val="4"/>
                <c:pt idx="0">
                  <c:v>44</c:v>
                </c:pt>
                <c:pt idx="1">
                  <c:v>32.5</c:v>
                </c:pt>
                <c:pt idx="2">
                  <c:v>69</c:v>
                </c:pt>
              </c:numCache>
            </c:numRef>
          </c:xVal>
          <c:yVal>
            <c:numRef>
              <c:f>'8 PCC-D'!$AN$91:$AQ$91</c:f>
              <c:numCache>
                <c:formatCode>General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1500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A51-46C4-9402-C4DD2E9BCBEC}"/>
            </c:ext>
          </c:extLst>
        </c:ser>
        <c:ser>
          <c:idx val="1"/>
          <c:order val="1"/>
          <c:tx>
            <c:v>  </c:v>
          </c:tx>
          <c:spPr>
            <a:ln w="1587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'8 PCC-D'!$AR$90:$AS$90</c:f>
              <c:numCache>
                <c:formatCode>General</c:formatCode>
                <c:ptCount val="2"/>
                <c:pt idx="0">
                  <c:v>44</c:v>
                </c:pt>
                <c:pt idx="1">
                  <c:v>44</c:v>
                </c:pt>
              </c:numCache>
            </c:numRef>
          </c:xVal>
          <c:yVal>
            <c:numRef>
              <c:f>'8 PCC-D'!$AR$91:$AS$91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A51-46C4-9402-C4DD2E9BCBEC}"/>
            </c:ext>
          </c:extLst>
        </c:ser>
        <c:ser>
          <c:idx val="2"/>
          <c:order val="2"/>
          <c:tx>
            <c:v>  </c:v>
          </c:tx>
          <c:spPr>
            <a:ln w="15875">
              <a:prstDash val="dash"/>
            </a:ln>
          </c:spPr>
          <c:marker>
            <c:symbol val="none"/>
          </c:marker>
          <c:xVal>
            <c:numRef>
              <c:f>'8 PCC-D'!$AT$90:$AU$90</c:f>
              <c:numCache>
                <c:formatCode>General</c:formatCode>
                <c:ptCount val="2"/>
                <c:pt idx="0">
                  <c:v>32.5</c:v>
                </c:pt>
                <c:pt idx="1">
                  <c:v>32.5</c:v>
                </c:pt>
              </c:numCache>
            </c:numRef>
          </c:xVal>
          <c:yVal>
            <c:numRef>
              <c:f>'8 PCC-D'!$AT$91:$AU$91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A51-46C4-9402-C4DD2E9BCBEC}"/>
            </c:ext>
          </c:extLst>
        </c:ser>
        <c:ser>
          <c:idx val="3"/>
          <c:order val="3"/>
          <c:tx>
            <c:v>  </c:v>
          </c:tx>
          <c:spPr>
            <a:ln w="158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'8 PCC-D'!$AV$90:$AW$90</c:f>
              <c:numCache>
                <c:formatCode>General</c:formatCode>
                <c:ptCount val="2"/>
                <c:pt idx="0">
                  <c:v>69</c:v>
                </c:pt>
                <c:pt idx="1">
                  <c:v>69</c:v>
                </c:pt>
              </c:numCache>
            </c:numRef>
          </c:xVal>
          <c:yVal>
            <c:numRef>
              <c:f>'8 PCC-D'!$AV$91:$AW$91</c:f>
              <c:numCache>
                <c:formatCode>General</c:formatCode>
                <c:ptCount val="2"/>
                <c:pt idx="0">
                  <c:v>0</c:v>
                </c:pt>
                <c:pt idx="1">
                  <c:v>1500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A51-46C4-9402-C4DD2E9BCBEC}"/>
            </c:ext>
          </c:extLst>
        </c:ser>
        <c:ser>
          <c:idx val="4"/>
          <c:order val="4"/>
          <c:tx>
            <c:strRef>
              <c:f>'8 PCC-D'!$AR$95:$AS$95</c:f>
              <c:strCache>
                <c:ptCount val="1"/>
                <c:pt idx="0">
                  <c:v>0 44</c:v>
                </c:pt>
              </c:strCache>
            </c:strRef>
          </c:tx>
          <c:spPr>
            <a:ln w="1587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'8 PCC-D'!$AR$95:$AS$95</c:f>
              <c:numCache>
                <c:formatCode>General</c:formatCode>
                <c:ptCount val="2"/>
                <c:pt idx="0">
                  <c:v>0</c:v>
                </c:pt>
                <c:pt idx="1">
                  <c:v>44</c:v>
                </c:pt>
              </c:numCache>
            </c:numRef>
          </c:xVal>
          <c:yVal>
            <c:numRef>
              <c:f>'8 PCC-D'!$AR$96:$AS$96</c:f>
              <c:numCache>
                <c:formatCode>General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FA51-46C4-9402-C4DD2E9BCBEC}"/>
            </c:ext>
          </c:extLst>
        </c:ser>
        <c:ser>
          <c:idx val="5"/>
          <c:order val="5"/>
          <c:tx>
            <c:v>  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'8 PCC-D'!$AT$95:$AU$95</c:f>
              <c:numCache>
                <c:formatCode>General</c:formatCode>
                <c:ptCount val="2"/>
                <c:pt idx="0">
                  <c:v>0</c:v>
                </c:pt>
                <c:pt idx="1">
                  <c:v>32.5</c:v>
                </c:pt>
              </c:numCache>
            </c:numRef>
          </c:xVal>
          <c:yVal>
            <c:numRef>
              <c:f>'8 PCC-D'!$AT$96:$AU$96</c:f>
              <c:numCache>
                <c:formatCode>General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FA51-46C4-9402-C4DD2E9BCBEC}"/>
            </c:ext>
          </c:extLst>
        </c:ser>
        <c:ser>
          <c:idx val="6"/>
          <c:order val="6"/>
          <c:tx>
            <c:v>  </c:v>
          </c:tx>
          <c:spPr>
            <a:ln w="158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'8 PCC-D'!$AV$95:$AW$95</c:f>
              <c:numCache>
                <c:formatCode>General</c:formatCode>
                <c:ptCount val="2"/>
                <c:pt idx="0">
                  <c:v>0</c:v>
                </c:pt>
                <c:pt idx="1">
                  <c:v>69</c:v>
                </c:pt>
              </c:numCache>
            </c:numRef>
          </c:xVal>
          <c:yVal>
            <c:numRef>
              <c:f>'8 PCC-D'!$AV$96:$AW$96</c:f>
              <c:numCache>
                <c:formatCode>General</c:formatCode>
                <c:ptCount val="2"/>
                <c:pt idx="0">
                  <c:v>1500</c:v>
                </c:pt>
                <c:pt idx="1">
                  <c:v>1500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FA51-46C4-9402-C4DD2E9BCBEC}"/>
            </c:ext>
          </c:extLst>
        </c:ser>
        <c:axId val="124094720"/>
        <c:axId val="124113280"/>
      </c:scatterChart>
      <c:valAx>
        <c:axId val="124094720"/>
        <c:scaling>
          <c:orientation val="minMax"/>
        </c:scaling>
        <c:axPos val="b"/>
        <c:majorGridlines>
          <c:spPr>
            <a:ln>
              <a:solidFill>
                <a:srgbClr val="4F81BD">
                  <a:alpha val="38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pl-PL" sz="1200"/>
                  <a:t>Q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0.90764364645502238"/>
              <c:y val="0.84043584551931005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4113280"/>
        <c:crosses val="autoZero"/>
        <c:crossBetween val="midCat"/>
      </c:valAx>
      <c:valAx>
        <c:axId val="124113280"/>
        <c:scaling>
          <c:orientation val="minMax"/>
        </c:scaling>
        <c:axPos val="l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 sz="1200"/>
                  <a:t>M</a:t>
                </a:r>
              </a:p>
            </c:rich>
          </c:tx>
          <c:layout>
            <c:manualLayout>
              <c:xMode val="edge"/>
              <c:yMode val="edge"/>
              <c:x val="3.9640236053295891E-2"/>
              <c:y val="6.8154180727409072E-2"/>
            </c:manualLayout>
          </c:layout>
        </c:title>
        <c:numFmt formatCode="General" sourceLinked="1"/>
        <c:tickLblPos val="nextTo"/>
        <c:crossAx val="124094720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/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800" b="1" i="0" u="none" strike="noStrike" baseline="0"/>
              <a:t/>
            </a:r>
            <a:br>
              <a:rPr lang="pl-PL" sz="1800" b="1" i="0" u="none" strike="noStrike" baseline="0"/>
            </a:br>
            <a:r>
              <a:rPr lang="pl-PL" sz="1400" b="0" i="0" u="none" strike="noStrike" baseline="0">
                <a:effectLst/>
              </a:rPr>
              <a:t>Budget lines and indifference curves</a:t>
            </a:r>
            <a:r>
              <a:rPr lang="pl-PL" sz="800" baseline="0"/>
              <a:t> </a:t>
            </a:r>
            <a:r>
              <a:rPr lang="pl-PL" sz="1000" baseline="0"/>
              <a:t>1 , 2, 3</a:t>
            </a:r>
          </a:p>
          <a:p>
            <a:pPr>
              <a:defRPr/>
            </a:pPr>
            <a:endParaRPr lang="pl-PL" sz="1100"/>
          </a:p>
        </c:rich>
      </c:tx>
      <c:layout/>
    </c:title>
    <c:plotArea>
      <c:layout>
        <c:manualLayout>
          <c:layoutTarget val="inner"/>
          <c:xMode val="edge"/>
          <c:yMode val="edge"/>
          <c:x val="3.3775116517525003E-2"/>
          <c:y val="0.11948848531026733"/>
          <c:w val="0.79266060327918575"/>
          <c:h val="0.84370046454899983"/>
        </c:manualLayout>
      </c:layout>
      <c:scatterChart>
        <c:scatterStyle val="smoothMarker"/>
        <c:ser>
          <c:idx val="0"/>
          <c:order val="0"/>
          <c:tx>
            <c:v>LB1</c:v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9-4551-8AD6-751B20EC2EB1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 ICC-Engla'!$AN$18:$AS$18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'9 ICC-Engla'!$AN$19:$AS$19</c:f>
              <c:numCache>
                <c:formatCode>General</c:formatCode>
                <c:ptCount val="6"/>
                <c:pt idx="0">
                  <c:v>166.66666666666666</c:v>
                </c:pt>
                <c:pt idx="1">
                  <c:v>133.33333333333331</c:v>
                </c:pt>
                <c:pt idx="2">
                  <c:v>99.999999999999986</c:v>
                </c:pt>
                <c:pt idx="3">
                  <c:v>66.666666666666657</c:v>
                </c:pt>
                <c:pt idx="4">
                  <c:v>33.333333333333314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49-4551-8AD6-751B20EC2EB1}"/>
            </c:ext>
          </c:extLst>
        </c:ser>
        <c:ser>
          <c:idx val="1"/>
          <c:order val="1"/>
          <c:tx>
            <c:v>I1</c:v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'9 ICC-Engla'!$AN$23:$AS$23</c:f>
              <c:numCache>
                <c:formatCode>General</c:formatCode>
                <c:ptCount val="6"/>
                <c:pt idx="0">
                  <c:v>30.799999999999997</c:v>
                </c:pt>
                <c:pt idx="1">
                  <c:v>35.200000000000003</c:v>
                </c:pt>
                <c:pt idx="2">
                  <c:v>39.6</c:v>
                </c:pt>
                <c:pt idx="3">
                  <c:v>44</c:v>
                </c:pt>
                <c:pt idx="4">
                  <c:v>48.400000000000006</c:v>
                </c:pt>
                <c:pt idx="5">
                  <c:v>57.2</c:v>
                </c:pt>
              </c:numCache>
            </c:numRef>
          </c:xVal>
          <c:yVal>
            <c:numRef>
              <c:f>'9 ICC-Engla'!$AN$24:$AS$24</c:f>
              <c:numCache>
                <c:formatCode>General</c:formatCode>
                <c:ptCount val="6"/>
                <c:pt idx="0">
                  <c:v>124.76190476190477</c:v>
                </c:pt>
                <c:pt idx="1">
                  <c:v>111.66666666666666</c:v>
                </c:pt>
                <c:pt idx="2">
                  <c:v>101.48148148148148</c:v>
                </c:pt>
                <c:pt idx="3">
                  <c:v>93.333333333333329</c:v>
                </c:pt>
                <c:pt idx="4">
                  <c:v>86.666666666666657</c:v>
                </c:pt>
                <c:pt idx="5">
                  <c:v>76.410256410256409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449-4551-8AD6-751B20EC2EB1}"/>
            </c:ext>
          </c:extLst>
        </c:ser>
        <c:ser>
          <c:idx val="3"/>
          <c:order val="2"/>
          <c:tx>
            <c:v>LB2</c:v>
          </c:tx>
          <c:spPr>
            <a:ln w="571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9-4551-8AD6-751B20EC2EB1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 ICC-Engla'!$AN$45:$AS$45</c:f>
              <c:numCache>
                <c:formatCode>General</c:formatCode>
                <c:ptCount val="6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130</c:v>
                </c:pt>
              </c:numCache>
            </c:numRef>
          </c:xVal>
          <c:yVal>
            <c:numRef>
              <c:f>'9 ICC-Engla'!$AN$46:$AS$46</c:f>
              <c:numCache>
                <c:formatCode>General</c:formatCode>
                <c:ptCount val="6"/>
                <c:pt idx="0">
                  <c:v>216.66666666666666</c:v>
                </c:pt>
                <c:pt idx="1">
                  <c:v>173.33333333333331</c:v>
                </c:pt>
                <c:pt idx="2">
                  <c:v>130</c:v>
                </c:pt>
                <c:pt idx="3">
                  <c:v>86.666666666666657</c:v>
                </c:pt>
                <c:pt idx="4">
                  <c:v>43.333333333333314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C449-4551-8AD6-751B20EC2EB1}"/>
            </c:ext>
          </c:extLst>
        </c:ser>
        <c:ser>
          <c:idx val="4"/>
          <c:order val="3"/>
          <c:tx>
            <c:v>I2</c:v>
          </c:tx>
          <c:spPr>
            <a:ln w="53975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'9 ICC-Engla'!$AN$50:$AS$50</c:f>
              <c:numCache>
                <c:formatCode>General</c:formatCode>
                <c:ptCount val="6"/>
                <c:pt idx="0">
                  <c:v>41.3</c:v>
                </c:pt>
                <c:pt idx="1">
                  <c:v>47.2</c:v>
                </c:pt>
                <c:pt idx="2">
                  <c:v>53.1</c:v>
                </c:pt>
                <c:pt idx="3">
                  <c:v>59</c:v>
                </c:pt>
                <c:pt idx="4">
                  <c:v>64.900000000000006</c:v>
                </c:pt>
                <c:pt idx="5">
                  <c:v>76.7</c:v>
                </c:pt>
              </c:numCache>
            </c:numRef>
          </c:xVal>
          <c:yVal>
            <c:numRef>
              <c:f>'9 ICC-Engla'!$AN$51:$AS$51</c:f>
              <c:numCache>
                <c:formatCode>General</c:formatCode>
                <c:ptCount val="6"/>
                <c:pt idx="0">
                  <c:v>160.47619047619048</c:v>
                </c:pt>
                <c:pt idx="1">
                  <c:v>142.91666666666669</c:v>
                </c:pt>
                <c:pt idx="2">
                  <c:v>129.25925925925927</c:v>
                </c:pt>
                <c:pt idx="3">
                  <c:v>118.33333333333334</c:v>
                </c:pt>
                <c:pt idx="4">
                  <c:v>109.39393939393939</c:v>
                </c:pt>
                <c:pt idx="5">
                  <c:v>95.641025641025635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449-4551-8AD6-751B20EC2EB1}"/>
            </c:ext>
          </c:extLst>
        </c:ser>
        <c:ser>
          <c:idx val="11"/>
          <c:order val="4"/>
          <c:tx>
            <c:v>LB3</c:v>
          </c:tx>
          <c:spPr>
            <a:ln w="41275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9-4551-8AD6-751B20EC2EB1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 ICC-Engla'!$AN$72:$AS$72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</c:numCache>
            </c:numRef>
          </c:xVal>
          <c:yVal>
            <c:numRef>
              <c:f>'9 ICC-Engla'!$AN$73:$AS$73</c:f>
              <c:numCache>
                <c:formatCode>General</c:formatCode>
                <c:ptCount val="6"/>
                <c:pt idx="0">
                  <c:v>200</c:v>
                </c:pt>
                <c:pt idx="1">
                  <c:v>160</c:v>
                </c:pt>
                <c:pt idx="2">
                  <c:v>120</c:v>
                </c:pt>
                <c:pt idx="3">
                  <c:v>80</c:v>
                </c:pt>
                <c:pt idx="4">
                  <c:v>40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C449-4551-8AD6-751B20EC2EB1}"/>
            </c:ext>
          </c:extLst>
        </c:ser>
        <c:ser>
          <c:idx val="12"/>
          <c:order val="5"/>
          <c:tx>
            <c:v>I3</c:v>
          </c:tx>
          <c:spPr>
            <a:ln w="41275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'9 ICC-Engla'!$AN$77:$AS$77</c:f>
              <c:numCache>
                <c:formatCode>General</c:formatCode>
                <c:ptCount val="6"/>
                <c:pt idx="0">
                  <c:v>37.799999999999997</c:v>
                </c:pt>
                <c:pt idx="1">
                  <c:v>43.2</c:v>
                </c:pt>
                <c:pt idx="2">
                  <c:v>48.6</c:v>
                </c:pt>
                <c:pt idx="3">
                  <c:v>54</c:v>
                </c:pt>
                <c:pt idx="4">
                  <c:v>59.400000000000006</c:v>
                </c:pt>
                <c:pt idx="5">
                  <c:v>70.2</c:v>
                </c:pt>
              </c:numCache>
            </c:numRef>
          </c:xVal>
          <c:yVal>
            <c:numRef>
              <c:f>'9 ICC-Engla'!$AN$78:$AS$78</c:f>
              <c:numCache>
                <c:formatCode>General</c:formatCode>
                <c:ptCount val="6"/>
                <c:pt idx="0">
                  <c:v>148.57142857142858</c:v>
                </c:pt>
                <c:pt idx="1">
                  <c:v>132.5</c:v>
                </c:pt>
                <c:pt idx="2">
                  <c:v>120</c:v>
                </c:pt>
                <c:pt idx="3">
                  <c:v>110</c:v>
                </c:pt>
                <c:pt idx="4">
                  <c:v>101.81818181818181</c:v>
                </c:pt>
                <c:pt idx="5">
                  <c:v>89.230769230769226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C449-4551-8AD6-751B20EC2EB1}"/>
            </c:ext>
          </c:extLst>
        </c:ser>
        <c:ser>
          <c:idx val="10"/>
          <c:order val="6"/>
          <c:tx>
            <c:v>E1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 ICC-Engla'!$D$20</c:f>
              <c:numCache>
                <c:formatCode>General</c:formatCode>
                <c:ptCount val="1"/>
                <c:pt idx="0">
                  <c:v>44</c:v>
                </c:pt>
              </c:numCache>
            </c:numRef>
          </c:xVal>
          <c:yVal>
            <c:numRef>
              <c:f>'9 ICC-Engla'!$F$20</c:f>
              <c:numCache>
                <c:formatCode>0.00</c:formatCode>
                <c:ptCount val="1"/>
                <c:pt idx="0">
                  <c:v>93.333333333333329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C449-4551-8AD6-751B20EC2EB1}"/>
            </c:ext>
          </c:extLst>
        </c:ser>
        <c:ser>
          <c:idx val="13"/>
          <c:order val="7"/>
          <c:tx>
            <c:v>E2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dLblPos val="r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 ICC-Engla'!$C$37</c:f>
              <c:numCache>
                <c:formatCode>General</c:formatCode>
                <c:ptCount val="1"/>
                <c:pt idx="0">
                  <c:v>59</c:v>
                </c:pt>
              </c:numCache>
            </c:numRef>
          </c:xVal>
          <c:yVal>
            <c:numRef>
              <c:f>'9 ICC-Engla'!$E$37</c:f>
              <c:numCache>
                <c:formatCode>0.00</c:formatCode>
                <c:ptCount val="1"/>
                <c:pt idx="0">
                  <c:v>118.33333333333334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C449-4551-8AD6-751B20EC2EB1}"/>
            </c:ext>
          </c:extLst>
        </c:ser>
        <c:ser>
          <c:idx val="14"/>
          <c:order val="8"/>
          <c:tx>
            <c:v>E3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75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 ICC-Engla'!$D$54</c:f>
              <c:numCache>
                <c:formatCode>General</c:formatCode>
                <c:ptCount val="1"/>
                <c:pt idx="0">
                  <c:v>54</c:v>
                </c:pt>
              </c:numCache>
            </c:numRef>
          </c:xVal>
          <c:yVal>
            <c:numRef>
              <c:f>'9 ICC-Engla'!$F$54</c:f>
              <c:numCache>
                <c:formatCode>0.00</c:formatCode>
                <c:ptCount val="1"/>
                <c:pt idx="0">
                  <c:v>110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C449-4551-8AD6-751B20EC2EB1}"/>
            </c:ext>
          </c:extLst>
        </c:ser>
        <c:ser>
          <c:idx val="2"/>
          <c:order val="9"/>
          <c:tx>
            <c:strRef>
              <c:f>'9 ICC-Engla'!$AR$10:$AS$10</c:f>
              <c:strCache>
                <c:ptCount val="1"/>
                <c:pt idx="0">
                  <c:v>44 44</c:v>
                </c:pt>
              </c:strCache>
            </c:strRef>
          </c:tx>
          <c:spPr>
            <a:ln w="1587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ICC-Engla'!$AR$10:$AS$10</c:f>
              <c:numCache>
                <c:formatCode>General</c:formatCode>
                <c:ptCount val="2"/>
                <c:pt idx="0">
                  <c:v>44</c:v>
                </c:pt>
                <c:pt idx="1">
                  <c:v>44</c:v>
                </c:pt>
              </c:numCache>
            </c:numRef>
          </c:xVal>
          <c:yVal>
            <c:numRef>
              <c:f>'9 ICC-Engla'!$AR$11:$AS$11</c:f>
              <c:numCache>
                <c:formatCode>General</c:formatCode>
                <c:ptCount val="2"/>
                <c:pt idx="0">
                  <c:v>0</c:v>
                </c:pt>
                <c:pt idx="1">
                  <c:v>93.333333333333329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C449-4551-8AD6-751B20EC2EB1}"/>
            </c:ext>
          </c:extLst>
        </c:ser>
        <c:ser>
          <c:idx val="5"/>
          <c:order val="10"/>
          <c:tx>
            <c:v>  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ICC-Engla'!$AR$14:$AS$14</c:f>
              <c:numCache>
                <c:formatCode>General</c:formatCode>
                <c:ptCount val="2"/>
                <c:pt idx="0">
                  <c:v>0</c:v>
                </c:pt>
                <c:pt idx="1">
                  <c:v>44</c:v>
                </c:pt>
              </c:numCache>
            </c:numRef>
          </c:xVal>
          <c:yVal>
            <c:numRef>
              <c:f>'9 ICC-Engla'!$AR$13:$AS$13</c:f>
              <c:numCache>
                <c:formatCode>General</c:formatCode>
                <c:ptCount val="2"/>
                <c:pt idx="0">
                  <c:v>93.333333333333329</c:v>
                </c:pt>
                <c:pt idx="1">
                  <c:v>93.333333333333329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C449-4551-8AD6-751B20EC2EB1}"/>
            </c:ext>
          </c:extLst>
        </c:ser>
        <c:ser>
          <c:idx val="6"/>
          <c:order val="11"/>
          <c:tx>
            <c:v>  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ICC-Engla'!$AR$37:$AS$37</c:f>
              <c:numCache>
                <c:formatCode>General</c:formatCode>
                <c:ptCount val="2"/>
                <c:pt idx="0">
                  <c:v>59</c:v>
                </c:pt>
                <c:pt idx="1">
                  <c:v>59</c:v>
                </c:pt>
              </c:numCache>
            </c:numRef>
          </c:xVal>
          <c:yVal>
            <c:numRef>
              <c:f>'9 ICC-Engla'!$AR$38:$AS$38</c:f>
              <c:numCache>
                <c:formatCode>General</c:formatCode>
                <c:ptCount val="2"/>
                <c:pt idx="0">
                  <c:v>0</c:v>
                </c:pt>
                <c:pt idx="1">
                  <c:v>118.33333333333334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C449-4551-8AD6-751B20EC2EB1}"/>
            </c:ext>
          </c:extLst>
        </c:ser>
        <c:ser>
          <c:idx val="7"/>
          <c:order val="12"/>
          <c:tx>
            <c:v>  </c:v>
          </c:tx>
          <c:spPr>
            <a:ln w="1587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ICC-Engla'!$AR$41:$AS$41</c:f>
              <c:numCache>
                <c:formatCode>General</c:formatCode>
                <c:ptCount val="2"/>
                <c:pt idx="0">
                  <c:v>0</c:v>
                </c:pt>
                <c:pt idx="1">
                  <c:v>59</c:v>
                </c:pt>
              </c:numCache>
            </c:numRef>
          </c:xVal>
          <c:yVal>
            <c:numRef>
              <c:f>'9 ICC-Engla'!$AR$40:$AS$40</c:f>
              <c:numCache>
                <c:formatCode>General</c:formatCode>
                <c:ptCount val="2"/>
                <c:pt idx="0">
                  <c:v>118.33333333333334</c:v>
                </c:pt>
                <c:pt idx="1">
                  <c:v>118.33333333333334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C449-4551-8AD6-751B20EC2EB1}"/>
            </c:ext>
          </c:extLst>
        </c:ser>
        <c:ser>
          <c:idx val="8"/>
          <c:order val="13"/>
          <c:tx>
            <c:v>   </c:v>
          </c:tx>
          <c:spPr>
            <a:ln w="158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ICC-Engla'!$AR$64:$AS$64</c:f>
              <c:numCache>
                <c:formatCode>General</c:formatCode>
                <c:ptCount val="2"/>
                <c:pt idx="0">
                  <c:v>54</c:v>
                </c:pt>
                <c:pt idx="1">
                  <c:v>54</c:v>
                </c:pt>
              </c:numCache>
            </c:numRef>
          </c:xVal>
          <c:yVal>
            <c:numRef>
              <c:f>'9 ICC-Engla'!$AR$65:$AS$65</c:f>
              <c:numCache>
                <c:formatCode>General</c:formatCode>
                <c:ptCount val="2"/>
                <c:pt idx="0">
                  <c:v>0</c:v>
                </c:pt>
                <c:pt idx="1">
                  <c:v>110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C449-4551-8AD6-751B20EC2EB1}"/>
            </c:ext>
          </c:extLst>
        </c:ser>
        <c:ser>
          <c:idx val="9"/>
          <c:order val="14"/>
          <c:tx>
            <c:v>   </c:v>
          </c:tx>
          <c:spPr>
            <a:ln w="158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ICC-Engla'!$AR$68:$AS$68</c:f>
              <c:numCache>
                <c:formatCode>General</c:formatCode>
                <c:ptCount val="2"/>
                <c:pt idx="0">
                  <c:v>0</c:v>
                </c:pt>
                <c:pt idx="1">
                  <c:v>54</c:v>
                </c:pt>
              </c:numCache>
            </c:numRef>
          </c:xVal>
          <c:yVal>
            <c:numRef>
              <c:f>'9 ICC-Engla'!$AR$67:$AS$67</c:f>
              <c:numCache>
                <c:formatCode>General</c:formatCode>
                <c:ptCount val="2"/>
                <c:pt idx="0">
                  <c:v>110</c:v>
                </c:pt>
                <c:pt idx="1">
                  <c:v>110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C449-4551-8AD6-751B20EC2EB1}"/>
            </c:ext>
          </c:extLst>
        </c:ser>
        <c:ser>
          <c:idx val="15"/>
          <c:order val="15"/>
          <c:tx>
            <c:v>ICC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ICC2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49-4551-8AD6-751B20EC2EB1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 ICC-Engla'!$AU$84:$AX$84</c:f>
              <c:numCache>
                <c:formatCode>General</c:formatCode>
                <c:ptCount val="4"/>
                <c:pt idx="0">
                  <c:v>23.6</c:v>
                </c:pt>
                <c:pt idx="1">
                  <c:v>59</c:v>
                </c:pt>
                <c:pt idx="2">
                  <c:v>54</c:v>
                </c:pt>
                <c:pt idx="3">
                  <c:v>86.4</c:v>
                </c:pt>
              </c:numCache>
            </c:numRef>
          </c:xVal>
          <c:yVal>
            <c:numRef>
              <c:f>'9 ICC-Engla'!$AU$85:$AX$85</c:f>
              <c:numCache>
                <c:formatCode>General</c:formatCode>
                <c:ptCount val="4"/>
                <c:pt idx="0">
                  <c:v>59.333333333333279</c:v>
                </c:pt>
                <c:pt idx="1">
                  <c:v>118.33333333333334</c:v>
                </c:pt>
                <c:pt idx="2">
                  <c:v>110</c:v>
                </c:pt>
                <c:pt idx="3">
                  <c:v>164.00000000000006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C449-4551-8AD6-751B20EC2EB1}"/>
            </c:ext>
          </c:extLst>
        </c:ser>
        <c:ser>
          <c:idx val="16"/>
          <c:order val="16"/>
          <c:tx>
            <c:v>PCC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ICC1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49-4551-8AD6-751B20EC2EB1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'9 ICC-Engla'!$AU$79:$AX$79</c:f>
              <c:numCache>
                <c:formatCode>General</c:formatCode>
                <c:ptCount val="4"/>
                <c:pt idx="0">
                  <c:v>17.600000000000001</c:v>
                </c:pt>
                <c:pt idx="1">
                  <c:v>44</c:v>
                </c:pt>
                <c:pt idx="2">
                  <c:v>59</c:v>
                </c:pt>
                <c:pt idx="3">
                  <c:v>94.4</c:v>
                </c:pt>
              </c:numCache>
            </c:numRef>
          </c:xVal>
          <c:yVal>
            <c:numRef>
              <c:f>'9 ICC-Engla'!$AU$80:$AX$80</c:f>
              <c:numCache>
                <c:formatCode>General</c:formatCode>
                <c:ptCount val="4"/>
                <c:pt idx="0">
                  <c:v>49.333333333333314</c:v>
                </c:pt>
                <c:pt idx="1">
                  <c:v>93.333333333333329</c:v>
                </c:pt>
                <c:pt idx="2">
                  <c:v>118.33333333333334</c:v>
                </c:pt>
                <c:pt idx="3">
                  <c:v>177.33333333333337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C449-4551-8AD6-751B20EC2EB1}"/>
            </c:ext>
          </c:extLst>
        </c:ser>
        <c:axId val="124213120"/>
        <c:axId val="124227584"/>
      </c:scatterChart>
      <c:valAx>
        <c:axId val="124213120"/>
        <c:scaling>
          <c:orientation val="minMax"/>
        </c:scaling>
        <c:axPos val="b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Q</a:t>
                </a:r>
                <a:r>
                  <a:rPr lang="pl-PL" sz="14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0.92393447507803261"/>
              <c:y val="0.94202021154541415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4227584"/>
        <c:crosses val="autoZero"/>
        <c:crossBetween val="midCat"/>
      </c:valAx>
      <c:valAx>
        <c:axId val="124227584"/>
        <c:scaling>
          <c:orientation val="minMax"/>
        </c:scaling>
        <c:axPos val="l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 sz="1400"/>
                  <a:t>Q</a:t>
                </a:r>
                <a:r>
                  <a:rPr lang="pl-PL" sz="1400" baseline="-25000"/>
                  <a:t>y</a:t>
                </a:r>
              </a:p>
            </c:rich>
          </c:tx>
          <c:layout>
            <c:manualLayout>
              <c:xMode val="edge"/>
              <c:yMode val="edge"/>
              <c:x val="3.8095238095238095E-3"/>
              <c:y val="2.5210681000204314E-2"/>
            </c:manualLayout>
          </c:layout>
        </c:title>
        <c:numFmt formatCode="General" sourceLinked="1"/>
        <c:tickLblPos val="nextTo"/>
        <c:crossAx val="124213120"/>
        <c:crosses val="autoZero"/>
        <c:crossBetween val="midCat"/>
      </c:valAx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90809258114258851"/>
          <c:y val="0.13063542206924733"/>
          <c:w val="5.8722527233764733E-2"/>
          <c:h val="0.35964213305672127"/>
        </c:manualLayout>
      </c:layout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800" b="1" i="0" baseline="0"/>
              <a:t>The Engel  curve fod good  X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403550425552374E-2"/>
          <c:y val="0.25210294981783998"/>
          <c:w val="0.69325154408456502"/>
          <c:h val="0.60244650301065306"/>
        </c:manualLayout>
      </c:layout>
      <c:scatterChart>
        <c:scatterStyle val="smoothMarker"/>
        <c:ser>
          <c:idx val="0"/>
          <c:order val="0"/>
          <c:tx>
            <c:strRef>
              <c:f>'9 ICC-Engla'!$AM$87</c:f>
              <c:strCache>
                <c:ptCount val="1"/>
                <c:pt idx="0">
                  <c:v>Demand curve for good X</c:v>
                </c:pt>
              </c:strCache>
            </c:strRef>
          </c:tx>
          <c:xVal>
            <c:numRef>
              <c:f>'9 ICC-Engla'!$AN$90:$AP$90</c:f>
              <c:numCache>
                <c:formatCode>General</c:formatCode>
                <c:ptCount val="3"/>
                <c:pt idx="0">
                  <c:v>44</c:v>
                </c:pt>
                <c:pt idx="1">
                  <c:v>59</c:v>
                </c:pt>
                <c:pt idx="2">
                  <c:v>54</c:v>
                </c:pt>
              </c:numCache>
            </c:numRef>
          </c:xVal>
          <c:yVal>
            <c:numRef>
              <c:f>'9 ICC-Engla'!$AN$91:$AP$91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6C5-42EC-958B-CDA607D2BFDF}"/>
            </c:ext>
          </c:extLst>
        </c:ser>
        <c:ser>
          <c:idx val="1"/>
          <c:order val="1"/>
          <c:tx>
            <c:v>  </c:v>
          </c:tx>
          <c:spPr>
            <a:ln w="1587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ICC-Engla'!$AR$90:$AS$90</c:f>
              <c:numCache>
                <c:formatCode>General</c:formatCode>
                <c:ptCount val="2"/>
                <c:pt idx="0">
                  <c:v>44</c:v>
                </c:pt>
                <c:pt idx="1">
                  <c:v>44</c:v>
                </c:pt>
              </c:numCache>
            </c:numRef>
          </c:xVal>
          <c:yVal>
            <c:numRef>
              <c:f>'9 ICC-Engla'!$AR$91:$AS$91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6C5-42EC-958B-CDA607D2BFDF}"/>
            </c:ext>
          </c:extLst>
        </c:ser>
        <c:ser>
          <c:idx val="2"/>
          <c:order val="2"/>
          <c:tx>
            <c:v> 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ICC-Engla'!$AT$90:$AU$90</c:f>
              <c:numCache>
                <c:formatCode>General</c:formatCode>
                <c:ptCount val="2"/>
                <c:pt idx="0">
                  <c:v>59</c:v>
                </c:pt>
                <c:pt idx="1">
                  <c:v>59</c:v>
                </c:pt>
              </c:numCache>
            </c:numRef>
          </c:xVal>
          <c:yVal>
            <c:numRef>
              <c:f>'9 ICC-Engla'!$AT$91:$AU$91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6C5-42EC-958B-CDA607D2BFDF}"/>
            </c:ext>
          </c:extLst>
        </c:ser>
        <c:ser>
          <c:idx val="3"/>
          <c:order val="3"/>
          <c:tx>
            <c:strRef>
              <c:f>'9 ICC-Engla'!$AV$90:$AW$90</c:f>
              <c:strCache>
                <c:ptCount val="1"/>
                <c:pt idx="0">
                  <c:v>54 54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ICC-Engla'!$AV$90:$AW$90</c:f>
              <c:numCache>
                <c:formatCode>General</c:formatCode>
                <c:ptCount val="2"/>
                <c:pt idx="0">
                  <c:v>54</c:v>
                </c:pt>
                <c:pt idx="1">
                  <c:v>54</c:v>
                </c:pt>
              </c:numCache>
            </c:numRef>
          </c:xVal>
          <c:yVal>
            <c:numRef>
              <c:f>'9 ICC-Engla'!$AV$91:$AW$91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6C5-42EC-958B-CDA607D2BFDF}"/>
            </c:ext>
          </c:extLst>
        </c:ser>
        <c:ser>
          <c:idx val="4"/>
          <c:order val="4"/>
          <c:tx>
            <c:v> </c:v>
          </c:tx>
          <c:spPr>
            <a:ln w="1587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ICC-Engla'!$AR$95:$AS$95</c:f>
              <c:numCache>
                <c:formatCode>General</c:formatCode>
                <c:ptCount val="2"/>
                <c:pt idx="0">
                  <c:v>0</c:v>
                </c:pt>
                <c:pt idx="1">
                  <c:v>44</c:v>
                </c:pt>
              </c:numCache>
            </c:numRef>
          </c:xVal>
          <c:yVal>
            <c:numRef>
              <c:f>'9 ICC-Engla'!$AR$96:$AS$96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C6C5-42EC-958B-CDA607D2BFDF}"/>
            </c:ext>
          </c:extLst>
        </c:ser>
        <c:ser>
          <c:idx val="5"/>
          <c:order val="5"/>
          <c:tx>
            <c:v>  </c:v>
          </c:tx>
          <c:spPr>
            <a:ln w="15875"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ICC-Engla'!$AT$95:$AU$95</c:f>
              <c:numCache>
                <c:formatCode>General</c:formatCode>
                <c:ptCount val="2"/>
                <c:pt idx="0">
                  <c:v>0</c:v>
                </c:pt>
                <c:pt idx="1">
                  <c:v>59</c:v>
                </c:pt>
              </c:numCache>
            </c:numRef>
          </c:xVal>
          <c:yVal>
            <c:numRef>
              <c:f>'9 ICC-Engla'!$AT$96:$AU$96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6C5-42EC-958B-CDA607D2BFDF}"/>
            </c:ext>
          </c:extLst>
        </c:ser>
        <c:ser>
          <c:idx val="6"/>
          <c:order val="6"/>
          <c:tx>
            <c:v>   </c:v>
          </c:tx>
          <c:spPr>
            <a:ln w="158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'9 ICC-Engla'!$AV$95:$AW$95</c:f>
              <c:numCache>
                <c:formatCode>General</c:formatCode>
                <c:ptCount val="2"/>
                <c:pt idx="0">
                  <c:v>0</c:v>
                </c:pt>
                <c:pt idx="1">
                  <c:v>54</c:v>
                </c:pt>
              </c:numCache>
            </c:numRef>
          </c:xVal>
          <c:yVal>
            <c:numRef>
              <c:f>'9 ICC-Engla'!$AV$96:$AW$96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C6C5-42EC-958B-CDA607D2BFDF}"/>
            </c:ext>
          </c:extLst>
        </c:ser>
        <c:ser>
          <c:idx val="7"/>
          <c:order val="7"/>
          <c:tx>
            <c:v>1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xVal>
            <c:numRef>
              <c:f>'9 ICC-Engla'!$AN$90</c:f>
              <c:numCache>
                <c:formatCode>General</c:formatCode>
                <c:ptCount val="1"/>
                <c:pt idx="0">
                  <c:v>44</c:v>
                </c:pt>
              </c:numCache>
            </c:numRef>
          </c:xVal>
          <c:yVal>
            <c:numRef>
              <c:f>'9 ICC-Engla'!$AN$91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C6C5-42EC-958B-CDA607D2BFDF}"/>
            </c:ext>
          </c:extLst>
        </c:ser>
        <c:ser>
          <c:idx val="8"/>
          <c:order val="8"/>
          <c:tx>
            <c:v>2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xVal>
            <c:numRef>
              <c:f>'9 ICC-Engla'!$AO$90</c:f>
              <c:numCache>
                <c:formatCode>General</c:formatCode>
                <c:ptCount val="1"/>
                <c:pt idx="0">
                  <c:v>59</c:v>
                </c:pt>
              </c:numCache>
            </c:numRef>
          </c:xVal>
          <c:yVal>
            <c:numRef>
              <c:f>'9 ICC-Engla'!$AO$91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C6C5-42EC-958B-CDA607D2BFDF}"/>
            </c:ext>
          </c:extLst>
        </c:ser>
        <c:ser>
          <c:idx val="9"/>
          <c:order val="9"/>
          <c:tx>
            <c:v>3</c:v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tx2">
                  <a:lumMod val="75000"/>
                </a:schemeClr>
              </a:solidFill>
            </c:spPr>
          </c:marker>
          <c:xVal>
            <c:numRef>
              <c:f>'9 ICC-Engla'!$AP$90</c:f>
              <c:numCache>
                <c:formatCode>General</c:formatCode>
                <c:ptCount val="1"/>
                <c:pt idx="0">
                  <c:v>54</c:v>
                </c:pt>
              </c:numCache>
            </c:numRef>
          </c:xVal>
          <c:yVal>
            <c:numRef>
              <c:f>'9 ICC-Engla'!$AP$91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C6C5-42EC-958B-CDA607D2BFDF}"/>
            </c:ext>
          </c:extLst>
        </c:ser>
        <c:axId val="124437632"/>
        <c:axId val="124439936"/>
      </c:scatterChart>
      <c:valAx>
        <c:axId val="124437632"/>
        <c:scaling>
          <c:orientation val="minMax"/>
        </c:scaling>
        <c:axPos val="b"/>
        <c:majorGridlines>
          <c:spPr>
            <a:ln>
              <a:solidFill>
                <a:srgbClr val="4F81BD">
                  <a:alpha val="39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pl-PL" sz="1200"/>
                  <a:t>Q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0.90764371120276632"/>
              <c:y val="0.84043594273707478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4439936"/>
        <c:crosses val="autoZero"/>
        <c:crossBetween val="midCat"/>
      </c:valAx>
      <c:valAx>
        <c:axId val="124439936"/>
        <c:scaling>
          <c:orientation val="minMax"/>
        </c:scaling>
        <c:axPos val="l"/>
        <c:majorGridlines>
          <c:spPr>
            <a:ln>
              <a:solidFill>
                <a:srgbClr val="4F81BD">
                  <a:alpha val="39000"/>
                </a:srgb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 sz="1200"/>
                  <a:t>P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3.9640211640211642E-2"/>
              <c:y val="6.8153932282010471E-2"/>
            </c:manualLayout>
          </c:layout>
        </c:title>
        <c:numFmt formatCode="General" sourceLinked="1"/>
        <c:tickLblPos val="nextTo"/>
        <c:crossAx val="124437632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0802716327125756"/>
          <c:y val="0.19786158309158722"/>
          <c:w val="0.16293929925426037"/>
          <c:h val="0.69583731396456361"/>
        </c:manualLayout>
      </c:layout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100" baseline="0"/>
              <a:t>Budget lines and indifference curves  1 , 2, 3</a:t>
            </a:r>
          </a:p>
          <a:p>
            <a:pPr>
              <a:defRPr/>
            </a:pPr>
            <a:endParaRPr lang="pl-PL" sz="1100"/>
          </a:p>
        </c:rich>
      </c:tx>
      <c:layout/>
    </c:title>
    <c:plotArea>
      <c:layout>
        <c:manualLayout>
          <c:layoutTarget val="inner"/>
          <c:xMode val="edge"/>
          <c:yMode val="edge"/>
          <c:x val="8.7631683834796192E-2"/>
          <c:y val="9.0559723150045554E-2"/>
          <c:w val="0.79266060327918608"/>
          <c:h val="0.84370046454900005"/>
        </c:manualLayout>
      </c:layout>
      <c:scatterChart>
        <c:scatterStyle val="smoothMarker"/>
        <c:ser>
          <c:idx val="0"/>
          <c:order val="0"/>
          <c:tx>
            <c:v>LB1</c:v>
          </c:tx>
          <c:spPr>
            <a:ln w="22225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B3-4E33-B07B-6F684901BD4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Hicks'!$AN$18:$AS$18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'10 Hicks'!$AN$19:$AS$19</c:f>
              <c:numCache>
                <c:formatCode>General</c:formatCode>
                <c:ptCount val="6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40</c:v>
                </c:pt>
                <c:pt idx="4">
                  <c:v>20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BB3-4E33-B07B-6F684901BD40}"/>
            </c:ext>
          </c:extLst>
        </c:ser>
        <c:ser>
          <c:idx val="1"/>
          <c:order val="1"/>
          <c:tx>
            <c:v>I1</c:v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'10 Hicks'!$AN$23:$AS$23</c:f>
              <c:numCache>
                <c:formatCode>General</c:formatCode>
                <c:ptCount val="6"/>
                <c:pt idx="0">
                  <c:v>15.749999999999998</c:v>
                </c:pt>
                <c:pt idx="1">
                  <c:v>18</c:v>
                </c:pt>
                <c:pt idx="2">
                  <c:v>20.25</c:v>
                </c:pt>
                <c:pt idx="3">
                  <c:v>22.5</c:v>
                </c:pt>
                <c:pt idx="4">
                  <c:v>24.750000000000004</c:v>
                </c:pt>
                <c:pt idx="5">
                  <c:v>29.25</c:v>
                </c:pt>
              </c:numCache>
            </c:numRef>
          </c:xVal>
          <c:yVal>
            <c:numRef>
              <c:f>'10 Hicks'!$AN$24:$AS$24</c:f>
              <c:numCache>
                <c:formatCode>General</c:formatCode>
                <c:ptCount val="6"/>
                <c:pt idx="0">
                  <c:v>74.285714285714292</c:v>
                </c:pt>
                <c:pt idx="1">
                  <c:v>66.25</c:v>
                </c:pt>
                <c:pt idx="2">
                  <c:v>60</c:v>
                </c:pt>
                <c:pt idx="3">
                  <c:v>55</c:v>
                </c:pt>
                <c:pt idx="4">
                  <c:v>50.909090909090907</c:v>
                </c:pt>
                <c:pt idx="5">
                  <c:v>44.615384615384613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BB3-4E33-B07B-6F684901BD40}"/>
            </c:ext>
          </c:extLst>
        </c:ser>
        <c:ser>
          <c:idx val="3"/>
          <c:order val="2"/>
          <c:tx>
            <c:v>LB2</c:v>
          </c:tx>
          <c:spPr>
            <a:ln w="412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B3-4E33-B07B-6F684901BD4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Hicks'!$AN$45:$AS$45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</c:numCache>
            </c:numRef>
          </c:xVal>
          <c:yVal>
            <c:numRef>
              <c:f>'10 Hicks'!$AN$46:$AS$46</c:f>
              <c:numCache>
                <c:formatCode>General</c:formatCode>
                <c:ptCount val="6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40</c:v>
                </c:pt>
                <c:pt idx="4">
                  <c:v>20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BB3-4E33-B07B-6F684901BD40}"/>
            </c:ext>
          </c:extLst>
        </c:ser>
        <c:ser>
          <c:idx val="4"/>
          <c:order val="3"/>
          <c:tx>
            <c:v>I2</c:v>
          </c:tx>
          <c:spPr>
            <a:ln w="412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'10 Hicks'!$AN$50:$AS$50</c:f>
              <c:numCache>
                <c:formatCode>General</c:formatCode>
                <c:ptCount val="6"/>
                <c:pt idx="0">
                  <c:v>19.32</c:v>
                </c:pt>
                <c:pt idx="1">
                  <c:v>22.080000000000002</c:v>
                </c:pt>
                <c:pt idx="2">
                  <c:v>24.840000000000003</c:v>
                </c:pt>
                <c:pt idx="3">
                  <c:v>27.6</c:v>
                </c:pt>
                <c:pt idx="4">
                  <c:v>30.360000000000003</c:v>
                </c:pt>
                <c:pt idx="5">
                  <c:v>35.880000000000003</c:v>
                </c:pt>
              </c:numCache>
            </c:numRef>
          </c:xVal>
          <c:yVal>
            <c:numRef>
              <c:f>'10 Hicks'!$AN$51:$AS$51</c:f>
              <c:numCache>
                <c:formatCode>General</c:formatCode>
                <c:ptCount val="6"/>
                <c:pt idx="0">
                  <c:v>73.714285714285708</c:v>
                </c:pt>
                <c:pt idx="1">
                  <c:v>65.5</c:v>
                </c:pt>
                <c:pt idx="2">
                  <c:v>59.1111111111111</c:v>
                </c:pt>
                <c:pt idx="3">
                  <c:v>53.999999999999993</c:v>
                </c:pt>
                <c:pt idx="4">
                  <c:v>49.818181818181813</c:v>
                </c:pt>
                <c:pt idx="5">
                  <c:v>43.38461538461538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BB3-4E33-B07B-6F684901BD40}"/>
            </c:ext>
          </c:extLst>
        </c:ser>
        <c:ser>
          <c:idx val="11"/>
          <c:order val="4"/>
          <c:tx>
            <c:v>LB3</c:v>
          </c:tx>
          <c:spPr>
            <a:ln w="571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B3-4E33-B07B-6F684901BD4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Hicks'!$AN$72:$AS$72</c:f>
              <c:numCache>
                <c:formatCode>General</c:formatCode>
                <c:ptCount val="6"/>
                <c:pt idx="0">
                  <c:v>0</c:v>
                </c:pt>
                <c:pt idx="1">
                  <c:v>11.05</c:v>
                </c:pt>
                <c:pt idx="2">
                  <c:v>22.1</c:v>
                </c:pt>
                <c:pt idx="3">
                  <c:v>33.15</c:v>
                </c:pt>
                <c:pt idx="4">
                  <c:v>44.2</c:v>
                </c:pt>
                <c:pt idx="5">
                  <c:v>55.25</c:v>
                </c:pt>
              </c:numCache>
            </c:numRef>
          </c:xVal>
          <c:yVal>
            <c:numRef>
              <c:f>'10 Hicks'!$AN$73:$AS$73</c:f>
              <c:numCache>
                <c:formatCode>General</c:formatCode>
                <c:ptCount val="6"/>
                <c:pt idx="0">
                  <c:v>92.083333333333329</c:v>
                </c:pt>
                <c:pt idx="1">
                  <c:v>73.666666666666657</c:v>
                </c:pt>
                <c:pt idx="2">
                  <c:v>55.249999999999993</c:v>
                </c:pt>
                <c:pt idx="3">
                  <c:v>36.833333333333329</c:v>
                </c:pt>
                <c:pt idx="4">
                  <c:v>18.416666666666657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BB3-4E33-B07B-6F684901BD40}"/>
            </c:ext>
          </c:extLst>
        </c:ser>
        <c:ser>
          <c:idx val="12"/>
          <c:order val="5"/>
          <c:tx>
            <c:v>I3</c:v>
          </c:tx>
          <c:spPr>
            <a:ln w="571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'10 Hicks'!$AN$77:$AS$77</c:f>
              <c:numCache>
                <c:formatCode>General</c:formatCode>
                <c:ptCount val="6"/>
                <c:pt idx="0">
                  <c:v>17.237499999999997</c:v>
                </c:pt>
                <c:pt idx="1">
                  <c:v>19.700000000000003</c:v>
                </c:pt>
                <c:pt idx="2">
                  <c:v>22.162500000000001</c:v>
                </c:pt>
                <c:pt idx="3">
                  <c:v>24.625</c:v>
                </c:pt>
                <c:pt idx="4">
                  <c:v>27.087500000000002</c:v>
                </c:pt>
                <c:pt idx="5">
                  <c:v>32.012500000000003</c:v>
                </c:pt>
              </c:numCache>
            </c:numRef>
          </c:xVal>
          <c:yVal>
            <c:numRef>
              <c:f>'10 Hicks'!$AN$78:$AS$78</c:f>
              <c:numCache>
                <c:formatCode>General</c:formatCode>
                <c:ptCount val="6"/>
                <c:pt idx="0">
                  <c:v>68.63095238095238</c:v>
                </c:pt>
                <c:pt idx="1">
                  <c:v>61.302083333333321</c:v>
                </c:pt>
                <c:pt idx="2">
                  <c:v>55.601851851851848</c:v>
                </c:pt>
                <c:pt idx="3">
                  <c:v>51.041666666666664</c:v>
                </c:pt>
                <c:pt idx="4">
                  <c:v>47.310606060606055</c:v>
                </c:pt>
                <c:pt idx="5">
                  <c:v>41.570512820512818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4BB3-4E33-B07B-6F684901BD40}"/>
            </c:ext>
          </c:extLst>
        </c:ser>
        <c:ser>
          <c:idx val="10"/>
          <c:order val="6"/>
          <c:tx>
            <c:v>E1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Hicks'!$D$20</c:f>
              <c:numCache>
                <c:formatCode>General</c:formatCode>
                <c:ptCount val="1"/>
                <c:pt idx="0">
                  <c:v>22.5</c:v>
                </c:pt>
              </c:numCache>
            </c:numRef>
          </c:xVal>
          <c:yVal>
            <c:numRef>
              <c:f>'10 Hicks'!$F$20</c:f>
              <c:numCache>
                <c:formatCode>0.00</c:formatCode>
                <c:ptCount val="1"/>
                <c:pt idx="0">
                  <c:v>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4BB3-4E33-B07B-6F684901BD40}"/>
            </c:ext>
          </c:extLst>
        </c:ser>
        <c:ser>
          <c:idx val="13"/>
          <c:order val="7"/>
          <c:tx>
            <c:v>E2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dLblPos val="r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Hicks'!$C$37</c:f>
              <c:numCache>
                <c:formatCode>General</c:formatCode>
                <c:ptCount val="1"/>
                <c:pt idx="0">
                  <c:v>27.6</c:v>
                </c:pt>
              </c:numCache>
            </c:numRef>
          </c:xVal>
          <c:yVal>
            <c:numRef>
              <c:f>'10 Hicks'!$E$37</c:f>
              <c:numCache>
                <c:formatCode>0.00</c:formatCode>
                <c:ptCount val="1"/>
                <c:pt idx="0">
                  <c:v>53.999999999999993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4BB3-4E33-B07B-6F684901BD40}"/>
            </c:ext>
          </c:extLst>
        </c:ser>
        <c:ser>
          <c:idx val="14"/>
          <c:order val="8"/>
          <c:tx>
            <c:v>E3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75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Hicks'!$D$54</c:f>
              <c:numCache>
                <c:formatCode>General</c:formatCode>
                <c:ptCount val="1"/>
                <c:pt idx="0">
                  <c:v>24.625</c:v>
                </c:pt>
              </c:numCache>
            </c:numRef>
          </c:xVal>
          <c:yVal>
            <c:numRef>
              <c:f>'10 Hicks'!$F$54</c:f>
              <c:numCache>
                <c:formatCode>0.00</c:formatCode>
                <c:ptCount val="1"/>
                <c:pt idx="0">
                  <c:v>51.041666666666664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4BB3-4E33-B07B-6F684901BD40}"/>
            </c:ext>
          </c:extLst>
        </c:ser>
        <c:ser>
          <c:idx val="2"/>
          <c:order val="9"/>
          <c:tx>
            <c:v>PCC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3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B3-4E33-B07B-6F684901BD4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Hicks'!$AS$83:$AV$83</c:f>
              <c:numCache>
                <c:formatCode>General</c:formatCode>
                <c:ptCount val="4"/>
                <c:pt idx="0">
                  <c:v>20.25</c:v>
                </c:pt>
                <c:pt idx="1">
                  <c:v>22.5</c:v>
                </c:pt>
                <c:pt idx="2">
                  <c:v>27.6</c:v>
                </c:pt>
                <c:pt idx="3">
                  <c:v>33.119999999999997</c:v>
                </c:pt>
              </c:numCache>
            </c:numRef>
          </c:xVal>
          <c:yVal>
            <c:numRef>
              <c:f>'10 Hicks'!$AS$84:$AV$84</c:f>
              <c:numCache>
                <c:formatCode>General</c:formatCode>
                <c:ptCount val="4"/>
                <c:pt idx="0">
                  <c:v>55.441176470588239</c:v>
                </c:pt>
                <c:pt idx="1">
                  <c:v>55</c:v>
                </c:pt>
                <c:pt idx="2">
                  <c:v>53.999999999999993</c:v>
                </c:pt>
                <c:pt idx="3">
                  <c:v>52.917647058823519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4BB3-4E33-B07B-6F684901BD40}"/>
            </c:ext>
          </c:extLst>
        </c:ser>
        <c:ser>
          <c:idx val="5"/>
          <c:order val="10"/>
          <c:tx>
            <c:v>ICC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3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B3-4E33-B07B-6F684901BD4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Hicks'!$AS$88:$AV$88</c:f>
              <c:numCache>
                <c:formatCode>General</c:formatCode>
                <c:ptCount val="4"/>
                <c:pt idx="0">
                  <c:v>24.840000000000003</c:v>
                </c:pt>
                <c:pt idx="1">
                  <c:v>27.6</c:v>
                </c:pt>
                <c:pt idx="2">
                  <c:v>24.625</c:v>
                </c:pt>
                <c:pt idx="3">
                  <c:v>29.549999999999997</c:v>
                </c:pt>
              </c:numCache>
            </c:numRef>
          </c:xVal>
          <c:yVal>
            <c:numRef>
              <c:f>'10 Hicks'!$AS$89:$AV$89</c:f>
              <c:numCache>
                <c:formatCode>General</c:formatCode>
                <c:ptCount val="4"/>
                <c:pt idx="0">
                  <c:v>51.255462184873949</c:v>
                </c:pt>
                <c:pt idx="1">
                  <c:v>53.999999999999993</c:v>
                </c:pt>
                <c:pt idx="2">
                  <c:v>51.041666666666664</c:v>
                </c:pt>
                <c:pt idx="3">
                  <c:v>55.939075630252084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4BB3-4E33-B07B-6F684901BD40}"/>
            </c:ext>
          </c:extLst>
        </c:ser>
        <c:ser>
          <c:idx val="6"/>
          <c:order val="11"/>
          <c:tx>
            <c:v>de</c:v>
          </c:tx>
          <c:spPr>
            <a:ln>
              <a:solidFill>
                <a:schemeClr val="accent3"/>
              </a:solidFill>
              <a:tailEnd type="arrow"/>
            </a:ln>
          </c:spPr>
          <c:marker>
            <c:symbol val="none"/>
          </c:marker>
          <c:dLbls>
            <c:dLbl>
              <c:idx val="1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B3-4E33-B07B-6F684901BD4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Hicks'!$AM$95:$AN$95</c:f>
              <c:numCache>
                <c:formatCode>General</c:formatCode>
                <c:ptCount val="2"/>
                <c:pt idx="0">
                  <c:v>22.5</c:v>
                </c:pt>
                <c:pt idx="1">
                  <c:v>27.6</c:v>
                </c:pt>
              </c:numCache>
            </c:numRef>
          </c:xVal>
          <c:yVal>
            <c:numRef>
              <c:f>'10 Hicks'!$AM$96:$AN$96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4BB3-4E33-B07B-6F684901BD40}"/>
            </c:ext>
          </c:extLst>
        </c:ser>
        <c:ser>
          <c:idx val="7"/>
          <c:order val="12"/>
          <c:tx>
            <c:v>se</c:v>
          </c:tx>
          <c:spPr>
            <a:ln>
              <a:solidFill>
                <a:srgbClr val="FFFF00"/>
              </a:solidFill>
              <a:tailEnd type="arrow"/>
            </a:ln>
          </c:spPr>
          <c:marker>
            <c:symbol val="none"/>
          </c:marker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l"/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B3-4E33-B07B-6F684901BD4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Hicks'!$AP$95:$AQ$95</c:f>
              <c:numCache>
                <c:formatCode>General</c:formatCode>
                <c:ptCount val="2"/>
                <c:pt idx="0">
                  <c:v>22.5</c:v>
                </c:pt>
                <c:pt idx="1">
                  <c:v>24.625</c:v>
                </c:pt>
              </c:numCache>
            </c:numRef>
          </c:xVal>
          <c:yVal>
            <c:numRef>
              <c:f>'10 Hicks'!$AP$96:$AQ$96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4BB3-4E33-B07B-6F684901BD40}"/>
            </c:ext>
          </c:extLst>
        </c:ser>
        <c:ser>
          <c:idx val="8"/>
          <c:order val="13"/>
          <c:tx>
            <c:v>ie</c:v>
          </c:tx>
          <c:spPr>
            <a:ln>
              <a:solidFill>
                <a:srgbClr val="FF0000"/>
              </a:solidFill>
              <a:headEnd type="triangle"/>
            </a:ln>
          </c:spPr>
          <c:marker>
            <c:symbol val="none"/>
          </c:marker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B3-4E33-B07B-6F684901BD40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Hicks'!$AS$95:$AT$95</c:f>
              <c:numCache>
                <c:formatCode>General</c:formatCode>
                <c:ptCount val="2"/>
                <c:pt idx="0">
                  <c:v>27.6</c:v>
                </c:pt>
                <c:pt idx="1">
                  <c:v>24.625</c:v>
                </c:pt>
              </c:numCache>
            </c:numRef>
          </c:xVal>
          <c:yVal>
            <c:numRef>
              <c:f>'10 Hicks'!$AS$96:$AT$96</c:f>
              <c:numCache>
                <c:formatCode>General</c:formatCode>
                <c:ptCount val="2"/>
                <c:pt idx="0">
                  <c:v>13.75</c:v>
                </c:pt>
                <c:pt idx="1">
                  <c:v>13.75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4BB3-4E33-B07B-6F684901BD40}"/>
            </c:ext>
          </c:extLst>
        </c:ser>
        <c:ser>
          <c:idx val="9"/>
          <c:order val="14"/>
          <c:tx>
            <c:strRef>
              <c:f>'10 Hicks'!$AR$13:$AS$13</c:f>
              <c:strCache>
                <c:ptCount val="1"/>
                <c:pt idx="0">
                  <c:v>55 55</c:v>
                </c:pt>
              </c:strCache>
            </c:strRef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'10 Hicks'!$AR$10:$AS$10</c:f>
              <c:numCache>
                <c:formatCode>General</c:formatCode>
                <c:ptCount val="2"/>
                <c:pt idx="0">
                  <c:v>22.5</c:v>
                </c:pt>
                <c:pt idx="1">
                  <c:v>22.5</c:v>
                </c:pt>
              </c:numCache>
            </c:numRef>
          </c:xVal>
          <c:yVal>
            <c:numRef>
              <c:f>'10 Hicks'!$AR$11:$AS$11</c:f>
              <c:numCache>
                <c:formatCode>General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6-4BB3-4E33-B07B-6F684901BD40}"/>
            </c:ext>
          </c:extLst>
        </c:ser>
        <c:ser>
          <c:idx val="15"/>
          <c:order val="15"/>
          <c:tx>
            <c:v>  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'10 Hicks'!$AR$37:$AS$37</c:f>
              <c:numCache>
                <c:formatCode>General</c:formatCode>
                <c:ptCount val="2"/>
                <c:pt idx="0">
                  <c:v>27.6</c:v>
                </c:pt>
                <c:pt idx="1">
                  <c:v>27.6</c:v>
                </c:pt>
              </c:numCache>
            </c:numRef>
          </c:xVal>
          <c:yVal>
            <c:numRef>
              <c:f>'10 Hicks'!$AR$38:$AS$38</c:f>
              <c:numCache>
                <c:formatCode>General</c:formatCode>
                <c:ptCount val="2"/>
                <c:pt idx="0">
                  <c:v>0</c:v>
                </c:pt>
                <c:pt idx="1">
                  <c:v>53.999999999999993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7-4BB3-4E33-B07B-6F684901BD40}"/>
            </c:ext>
          </c:extLst>
        </c:ser>
        <c:ser>
          <c:idx val="16"/>
          <c:order val="16"/>
          <c:spPr>
            <a:ln w="15875">
              <a:solidFill>
                <a:prstClr val="black"/>
              </a:solidFill>
              <a:prstDash val="dash"/>
            </a:ln>
          </c:spPr>
          <c:marker>
            <c:symbol val="none"/>
          </c:marker>
          <c:xVal>
            <c:numRef>
              <c:f>'10 Hicks'!$AR$64:$AS$64</c:f>
              <c:numCache>
                <c:formatCode>General</c:formatCode>
                <c:ptCount val="2"/>
                <c:pt idx="0">
                  <c:v>24.625</c:v>
                </c:pt>
                <c:pt idx="1">
                  <c:v>24.625</c:v>
                </c:pt>
              </c:numCache>
            </c:numRef>
          </c:xVal>
          <c:yVal>
            <c:numRef>
              <c:f>'10 Hicks'!$AR$65:$AS$65</c:f>
              <c:numCache>
                <c:formatCode>General</c:formatCode>
                <c:ptCount val="2"/>
                <c:pt idx="0">
                  <c:v>0</c:v>
                </c:pt>
                <c:pt idx="1">
                  <c:v>51.041666666666664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8-4BB3-4E33-B07B-6F684901BD40}"/>
            </c:ext>
          </c:extLst>
        </c:ser>
        <c:axId val="125707008"/>
        <c:axId val="125708928"/>
      </c:scatterChart>
      <c:valAx>
        <c:axId val="125707008"/>
        <c:scaling>
          <c:orientation val="minMax"/>
        </c:scaling>
        <c:axPos val="b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Q</a:t>
                </a:r>
                <a:r>
                  <a:rPr lang="pl-PL" sz="14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0.92393441756336459"/>
              <c:y val="0.94202016678294853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5708928"/>
        <c:crosses val="autoZero"/>
        <c:crossBetween val="midCat"/>
      </c:valAx>
      <c:valAx>
        <c:axId val="125708928"/>
        <c:scaling>
          <c:orientation val="minMax"/>
        </c:scaling>
        <c:axPos val="l"/>
        <c:majorGridlines>
          <c:spPr>
            <a:ln>
              <a:solidFill>
                <a:srgbClr val="4F81BD">
                  <a:alpha val="37000"/>
                </a:srgb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 sz="1400"/>
                  <a:t>Q</a:t>
                </a:r>
                <a:r>
                  <a:rPr lang="pl-PL" sz="1400" baseline="-25000"/>
                  <a:t>y</a:t>
                </a:r>
              </a:p>
            </c:rich>
          </c:tx>
          <c:layout>
            <c:manualLayout>
              <c:xMode val="edge"/>
              <c:yMode val="edge"/>
              <c:x val="3.8094482902628112E-3"/>
              <c:y val="2.521063822718364E-2"/>
            </c:manualLayout>
          </c:layout>
        </c:title>
        <c:numFmt formatCode="General" sourceLinked="1"/>
        <c:tickLblPos val="nextTo"/>
        <c:crossAx val="125707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0809260624899335"/>
          <c:y val="0.13063556928801584"/>
          <c:w val="9.1907393751007177E-2"/>
          <c:h val="0.64446443403435361"/>
        </c:manualLayout>
      </c:layout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 b="1" i="0" baseline="0"/>
              <a:t>Demand curve good x - normal goods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403550425552374E-2"/>
          <c:y val="0.25210294981783998"/>
          <c:w val="0.69325154408456502"/>
          <c:h val="0.60244650301065306"/>
        </c:manualLayout>
      </c:layout>
      <c:scatterChart>
        <c:scatterStyle val="lineMarker"/>
        <c:ser>
          <c:idx val="0"/>
          <c:order val="0"/>
          <c:tx>
            <c:strRef>
              <c:f>'9 ICC-Engla'!$AM$87</c:f>
              <c:strCache>
                <c:ptCount val="1"/>
                <c:pt idx="0">
                  <c:v>Demand curve for good X</c:v>
                </c:pt>
              </c:strCache>
            </c:strRef>
          </c:tx>
          <c:spPr>
            <a:ln w="28575">
              <a:noFill/>
            </a:ln>
          </c:spPr>
          <c:xVal>
            <c:numRef>
              <c:f>'10 Hicks'!$AO$105:$AQ$105</c:f>
              <c:numCache>
                <c:formatCode>General</c:formatCode>
                <c:ptCount val="3"/>
                <c:pt idx="0">
                  <c:v>22.5</c:v>
                </c:pt>
                <c:pt idx="1">
                  <c:v>27.6</c:v>
                </c:pt>
                <c:pt idx="2">
                  <c:v>24.625</c:v>
                </c:pt>
              </c:numCache>
            </c:numRef>
          </c:xVal>
          <c:yVal>
            <c:numRef>
              <c:f>'10 Hicks'!$AO$104:$AQ$104</c:f>
              <c:numCache>
                <c:formatCode>General</c:formatCode>
                <c:ptCount val="3"/>
                <c:pt idx="0">
                  <c:v>24</c:v>
                </c:pt>
                <c:pt idx="1">
                  <c:v>20</c:v>
                </c:pt>
                <c:pt idx="2">
                  <c:v>20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ED5-4FE1-BCA3-192FB5436FAB}"/>
            </c:ext>
          </c:extLst>
        </c:ser>
        <c:axId val="125781120"/>
        <c:axId val="125783040"/>
      </c:scatterChart>
      <c:scatterChart>
        <c:scatterStyle val="smoothMarker"/>
        <c:ser>
          <c:idx val="1"/>
          <c:order val="1"/>
          <c:tx>
            <c:strRef>
              <c:f>'10 Hicks'!$AX$104:$AY$104</c:f>
              <c:strCache>
                <c:ptCount val="1"/>
                <c:pt idx="0">
                  <c:v>22,5 22,5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'10 Hicks'!$AX$104:$AY$104</c:f>
              <c:numCache>
                <c:formatCode>General</c:formatCode>
                <c:ptCount val="2"/>
                <c:pt idx="0">
                  <c:v>22.5</c:v>
                </c:pt>
                <c:pt idx="1">
                  <c:v>22.5</c:v>
                </c:pt>
              </c:numCache>
            </c:numRef>
          </c:xVal>
          <c:yVal>
            <c:numRef>
              <c:f>'10 Hicks'!$AX$105:$AY$105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ED5-4FE1-BCA3-192FB5436FAB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'10 Hicks'!$BB$104:$BC$104</c:f>
              <c:numCache>
                <c:formatCode>General</c:formatCode>
                <c:ptCount val="2"/>
                <c:pt idx="0">
                  <c:v>24.625</c:v>
                </c:pt>
                <c:pt idx="1">
                  <c:v>24.625</c:v>
                </c:pt>
              </c:numCache>
            </c:numRef>
          </c:xVal>
          <c:yVal>
            <c:numRef>
              <c:f>'10 Hicks'!$BB$105:$BC$105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ED5-4FE1-BCA3-192FB5436FAB}"/>
            </c:ext>
          </c:extLst>
        </c:ser>
        <c:ser>
          <c:idx val="3"/>
          <c:order val="3"/>
          <c:marker>
            <c:symbol val="none"/>
          </c:marker>
          <c:xVal>
            <c:numRef>
              <c:f>'10 Hicks'!$AO$111:$AP$111</c:f>
              <c:numCache>
                <c:formatCode>General</c:formatCode>
                <c:ptCount val="2"/>
                <c:pt idx="0">
                  <c:v>22.5</c:v>
                </c:pt>
                <c:pt idx="1">
                  <c:v>24.625</c:v>
                </c:pt>
              </c:numCache>
            </c:numRef>
          </c:xVal>
          <c:yVal>
            <c:numRef>
              <c:f>'10 Hicks'!$AO$112:$AP$112</c:f>
              <c:numCache>
                <c:formatCode>General</c:formatCode>
                <c:ptCount val="2"/>
                <c:pt idx="0">
                  <c:v>24</c:v>
                </c:pt>
                <c:pt idx="1">
                  <c:v>20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ED5-4FE1-BCA3-192FB5436FAB}"/>
            </c:ext>
          </c:extLst>
        </c:ser>
        <c:ser>
          <c:idx val="4"/>
          <c:order val="4"/>
          <c:tx>
            <c:strRef>
              <c:f>'10 Hicks'!$AR$103</c:f>
              <c:strCache>
                <c:ptCount val="1"/>
                <c:pt idx="0">
                  <c:v>-0,496</c:v>
                </c:pt>
              </c:strCache>
            </c:strRef>
          </c:tx>
          <c:marker>
            <c:symbol val="diamond"/>
            <c:size val="6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pl-PL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Hicks'!$AR$105</c:f>
              <c:numCache>
                <c:formatCode>General</c:formatCode>
                <c:ptCount val="1"/>
                <c:pt idx="0">
                  <c:v>22.5</c:v>
                </c:pt>
              </c:numCache>
            </c:numRef>
          </c:xVal>
          <c:yVal>
            <c:numRef>
              <c:f>'10 Hicks'!$AR$104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ED5-4FE1-BCA3-192FB5436FAB}"/>
            </c:ext>
          </c:extLst>
        </c:ser>
        <c:axId val="125781120"/>
        <c:axId val="125783040"/>
      </c:scatterChart>
      <c:valAx>
        <c:axId val="125781120"/>
        <c:scaling>
          <c:orientation val="minMax"/>
        </c:scaling>
        <c:axPos val="b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pl-PL" sz="1200"/>
                  <a:t>Q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0.90764363756856192"/>
              <c:y val="0.84043591509236248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5783040"/>
        <c:crosses val="autoZero"/>
        <c:crossBetween val="midCat"/>
      </c:valAx>
      <c:valAx>
        <c:axId val="125783040"/>
        <c:scaling>
          <c:orientation val="minMax"/>
        </c:scaling>
        <c:axPos val="l"/>
        <c:majorGridlines>
          <c:spPr>
            <a:ln>
              <a:solidFill>
                <a:srgbClr val="4F81BD">
                  <a:alpha val="38000"/>
                </a:srgb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 sz="1200"/>
                  <a:t>P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3.9640219391180752E-2"/>
              <c:y val="6.8153648094368427E-2"/>
            </c:manualLayout>
          </c:layout>
        </c:title>
        <c:numFmt formatCode="General" sourceLinked="1"/>
        <c:tickLblPos val="nextTo"/>
        <c:crossAx val="125781120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0802713614286581"/>
          <c:y val="0.19786114188197984"/>
          <c:w val="0.19197268946033019"/>
          <c:h val="0.2494192788639063"/>
        </c:manualLayout>
      </c:layout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 b="1" i="0" baseline="0"/>
              <a:t>Demand curve good x- inferior goods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9403550425552374E-2"/>
          <c:y val="0.25210294981783998"/>
          <c:w val="0.69325154408456502"/>
          <c:h val="0.60244650301065306"/>
        </c:manualLayout>
      </c:layout>
      <c:scatterChart>
        <c:scatterStyle val="lineMarker"/>
        <c:ser>
          <c:idx val="0"/>
          <c:order val="0"/>
          <c:tx>
            <c:strRef>
              <c:f>'9 ICC-Engla'!$AM$87</c:f>
              <c:strCache>
                <c:ptCount val="1"/>
                <c:pt idx="0">
                  <c:v>Demand curve for good X</c:v>
                </c:pt>
              </c:strCache>
            </c:strRef>
          </c:tx>
          <c:spPr>
            <a:ln w="28575">
              <a:noFill/>
            </a:ln>
          </c:spPr>
          <c:xVal>
            <c:numRef>
              <c:f>'10 Hicks'!$AO$105:$AQ$105</c:f>
              <c:numCache>
                <c:formatCode>General</c:formatCode>
                <c:ptCount val="3"/>
                <c:pt idx="0">
                  <c:v>22.5</c:v>
                </c:pt>
                <c:pt idx="1">
                  <c:v>27.6</c:v>
                </c:pt>
                <c:pt idx="2">
                  <c:v>24.625</c:v>
                </c:pt>
              </c:numCache>
            </c:numRef>
          </c:xVal>
          <c:yVal>
            <c:numRef>
              <c:f>'10 Hicks'!$AO$104:$AQ$104</c:f>
              <c:numCache>
                <c:formatCode>General</c:formatCode>
                <c:ptCount val="3"/>
                <c:pt idx="0">
                  <c:v>24</c:v>
                </c:pt>
                <c:pt idx="1">
                  <c:v>20</c:v>
                </c:pt>
                <c:pt idx="2">
                  <c:v>20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EC4-45A5-A133-9E7A5C05F1A9}"/>
            </c:ext>
          </c:extLst>
        </c:ser>
        <c:axId val="126494208"/>
        <c:axId val="126496128"/>
      </c:scatterChart>
      <c:scatterChart>
        <c:scatterStyle val="smoothMarker"/>
        <c:ser>
          <c:idx val="1"/>
          <c:order val="1"/>
          <c:tx>
            <c:strRef>
              <c:f>'10 Hicks'!$AX$104:$AY$104</c:f>
              <c:strCache>
                <c:ptCount val="1"/>
                <c:pt idx="0">
                  <c:v>22,5 22,5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'10 Hicks'!$AX$104:$AY$104</c:f>
              <c:numCache>
                <c:formatCode>General</c:formatCode>
                <c:ptCount val="2"/>
                <c:pt idx="0">
                  <c:v>22.5</c:v>
                </c:pt>
                <c:pt idx="1">
                  <c:v>22.5</c:v>
                </c:pt>
              </c:numCache>
            </c:numRef>
          </c:xVal>
          <c:yVal>
            <c:numRef>
              <c:f>'10 Hicks'!$AX$105:$AY$105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EC4-45A5-A133-9E7A5C05F1A9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'10 Hicks'!$AZ$104:$BA$104</c:f>
              <c:numCache>
                <c:formatCode>General</c:formatCode>
                <c:ptCount val="2"/>
                <c:pt idx="0">
                  <c:v>27.6</c:v>
                </c:pt>
                <c:pt idx="1">
                  <c:v>27.6</c:v>
                </c:pt>
              </c:numCache>
            </c:numRef>
          </c:xVal>
          <c:yVal>
            <c:numRef>
              <c:f>'10 Hicks'!$AZ$105:$BA$105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EC4-45A5-A133-9E7A5C05F1A9}"/>
            </c:ext>
          </c:extLst>
        </c:ser>
        <c:ser>
          <c:idx val="3"/>
          <c:order val="3"/>
          <c:marker>
            <c:symbol val="none"/>
          </c:marker>
          <c:xVal>
            <c:numRef>
              <c:f>'10 Hicks'!$AS$111:$AT$111</c:f>
              <c:numCache>
                <c:formatCode>General</c:formatCode>
                <c:ptCount val="2"/>
                <c:pt idx="0">
                  <c:v>22.5</c:v>
                </c:pt>
                <c:pt idx="1">
                  <c:v>27.6</c:v>
                </c:pt>
              </c:numCache>
            </c:numRef>
          </c:xVal>
          <c:yVal>
            <c:numRef>
              <c:f>'10 Hicks'!$AS$112:$AT$112</c:f>
              <c:numCache>
                <c:formatCode>General</c:formatCode>
                <c:ptCount val="2"/>
                <c:pt idx="0">
                  <c:v>24</c:v>
                </c:pt>
                <c:pt idx="1">
                  <c:v>20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EC4-45A5-A133-9E7A5C05F1A9}"/>
            </c:ext>
          </c:extLst>
        </c:ser>
        <c:ser>
          <c:idx val="4"/>
          <c:order val="4"/>
          <c:tx>
            <c:strRef>
              <c:f>'10 Hicks'!$AS$103</c:f>
              <c:strCache>
                <c:ptCount val="1"/>
                <c:pt idx="0">
                  <c:v>-1,120</c:v>
                </c:pt>
              </c:strCache>
            </c:strRef>
          </c:tx>
          <c:marker>
            <c:symbol val="diamond"/>
            <c:size val="6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pl-PL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'10 Hicks'!$AS$105</c:f>
              <c:numCache>
                <c:formatCode>General</c:formatCode>
                <c:ptCount val="1"/>
                <c:pt idx="0">
                  <c:v>27.6</c:v>
                </c:pt>
              </c:numCache>
            </c:numRef>
          </c:xVal>
          <c:yVal>
            <c:numRef>
              <c:f>'10 Hicks'!$AS$104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FEC4-45A5-A133-9E7A5C05F1A9}"/>
            </c:ext>
          </c:extLst>
        </c:ser>
        <c:axId val="126494208"/>
        <c:axId val="126496128"/>
      </c:scatterChart>
      <c:valAx>
        <c:axId val="126494208"/>
        <c:scaling>
          <c:orientation val="minMax"/>
        </c:scaling>
        <c:axPos val="b"/>
        <c:majorGridlines>
          <c:spPr>
            <a:ln>
              <a:solidFill>
                <a:srgbClr val="4F81BD">
                  <a:alpha val="37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pl-PL" sz="1200"/>
                  <a:t>Q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0.90764363756856192"/>
              <c:y val="0.84043582181093257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6496128"/>
        <c:crosses val="autoZero"/>
        <c:crossBetween val="midCat"/>
      </c:valAx>
      <c:valAx>
        <c:axId val="126496128"/>
        <c:scaling>
          <c:orientation val="minMax"/>
        </c:scaling>
        <c:axPos val="l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 sz="1200"/>
                  <a:t>P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3.9640219391180752E-2"/>
              <c:y val="6.8153800362583505E-2"/>
            </c:manualLayout>
          </c:layout>
        </c:title>
        <c:numFmt formatCode="General" sourceLinked="1"/>
        <c:tickLblPos val="nextTo"/>
        <c:crossAx val="126494208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0802713614286581"/>
          <c:y val="0.19786129826555188"/>
          <c:w val="0.19197268946033019"/>
          <c:h val="0.24941959574640826"/>
        </c:manualLayout>
      </c:layout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200" b="1" i="0" baseline="0">
                <a:effectLst/>
              </a:rPr>
              <a:t>Budget lines and indifference curves  1 , 2, 3</a:t>
            </a:r>
            <a:endParaRPr lang="pl-PL" sz="1200">
              <a:effectLst/>
            </a:endParaRPr>
          </a:p>
        </c:rich>
      </c:tx>
      <c:layout>
        <c:manualLayout>
          <c:xMode val="edge"/>
          <c:yMode val="edge"/>
          <c:x val="0.38766789802596963"/>
          <c:y val="4.8904126836544024E-3"/>
        </c:manualLayout>
      </c:layout>
    </c:title>
    <c:plotArea>
      <c:layout>
        <c:manualLayout>
          <c:layoutTarget val="inner"/>
          <c:xMode val="edge"/>
          <c:yMode val="edge"/>
          <c:x val="8.3058847200200722E-2"/>
          <c:y val="0.11319547918912513"/>
          <c:w val="0.79266060327918653"/>
          <c:h val="0.79235121866316172"/>
        </c:manualLayout>
      </c:layout>
      <c:scatterChart>
        <c:scatterStyle val="smoothMarker"/>
        <c:ser>
          <c:idx val="0"/>
          <c:order val="0"/>
          <c:tx>
            <c:v>LB1</c:v>
          </c:tx>
          <c:spPr>
            <a:ln w="22225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FF-4205-8366-8E5CA25C65BD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Slutsky'!$AN$18:$AS$18</c:f>
              <c:numCache>
                <c:formatCode>General</c:formatCode>
                <c:ptCount val="6"/>
                <c:pt idx="0">
                  <c:v>0</c:v>
                </c:pt>
                <c:pt idx="1">
                  <c:v>18.181818181818183</c:v>
                </c:pt>
                <c:pt idx="2">
                  <c:v>36.363636363636367</c:v>
                </c:pt>
                <c:pt idx="3">
                  <c:v>54.54545454545454</c:v>
                </c:pt>
                <c:pt idx="4">
                  <c:v>72.727272727272734</c:v>
                </c:pt>
                <c:pt idx="5">
                  <c:v>90.909090909090907</c:v>
                </c:pt>
              </c:numCache>
            </c:numRef>
          </c:xVal>
          <c:yVal>
            <c:numRef>
              <c:f>'11 Slutsky'!$AN$19:$AS$19</c:f>
              <c:numCache>
                <c:formatCode>General</c:formatCode>
                <c:ptCount val="6"/>
                <c:pt idx="0">
                  <c:v>166.66666666666666</c:v>
                </c:pt>
                <c:pt idx="1">
                  <c:v>133.33333333333331</c:v>
                </c:pt>
                <c:pt idx="2">
                  <c:v>99.999999999999986</c:v>
                </c:pt>
                <c:pt idx="3">
                  <c:v>66.666666666666671</c:v>
                </c:pt>
                <c:pt idx="4">
                  <c:v>33.333333333333314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DFF-4205-8366-8E5CA25C65BD}"/>
            </c:ext>
          </c:extLst>
        </c:ser>
        <c:ser>
          <c:idx val="3"/>
          <c:order val="1"/>
          <c:tx>
            <c:v>LB2</c:v>
          </c:tx>
          <c:spPr>
            <a:ln w="412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F-4205-8366-8E5CA25C65BD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Slutsky'!$AN$45:$AS$45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70</c:v>
                </c:pt>
              </c:numCache>
            </c:numRef>
          </c:xVal>
          <c:yVal>
            <c:numRef>
              <c:f>'11 Slutsky'!$AN$46:$AS$46</c:f>
              <c:numCache>
                <c:formatCode>General</c:formatCode>
                <c:ptCount val="6"/>
                <c:pt idx="0">
                  <c:v>198.61111111111109</c:v>
                </c:pt>
                <c:pt idx="1">
                  <c:v>158.88888888888886</c:v>
                </c:pt>
                <c:pt idx="2">
                  <c:v>119.16666666666664</c:v>
                </c:pt>
                <c:pt idx="3">
                  <c:v>79.444444444444443</c:v>
                </c:pt>
                <c:pt idx="4">
                  <c:v>39.7222222222222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DFF-4205-8366-8E5CA25C65BD}"/>
            </c:ext>
          </c:extLst>
        </c:ser>
        <c:ser>
          <c:idx val="4"/>
          <c:order val="2"/>
          <c:tx>
            <c:v>I2</c:v>
          </c:tx>
          <c:spPr>
            <a:ln w="412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'11 Slutsky'!$AN$50:$AS$50</c:f>
              <c:numCache>
                <c:formatCode>General</c:formatCode>
                <c:ptCount val="6"/>
                <c:pt idx="0">
                  <c:v>20.799300699300698</c:v>
                </c:pt>
                <c:pt idx="1">
                  <c:v>23.770629370629372</c:v>
                </c:pt>
                <c:pt idx="2">
                  <c:v>26.741958041958043</c:v>
                </c:pt>
                <c:pt idx="3">
                  <c:v>29.713286713286713</c:v>
                </c:pt>
                <c:pt idx="4">
                  <c:v>32.684615384615384</c:v>
                </c:pt>
                <c:pt idx="5">
                  <c:v>38.627272727272725</c:v>
                </c:pt>
              </c:numCache>
            </c:numRef>
          </c:xVal>
          <c:yVal>
            <c:numRef>
              <c:f>'11 Slutsky'!$AN$51:$AS$51</c:f>
              <c:numCache>
                <c:formatCode>General</c:formatCode>
                <c:ptCount val="6"/>
                <c:pt idx="0">
                  <c:v>150.43650793650792</c:v>
                </c:pt>
                <c:pt idx="1">
                  <c:v>135.3819444444444</c:v>
                </c:pt>
                <c:pt idx="2">
                  <c:v>123.67283950617282</c:v>
                </c:pt>
                <c:pt idx="3">
                  <c:v>114.30555555555554</c:v>
                </c:pt>
                <c:pt idx="4">
                  <c:v>106.64141414141413</c:v>
                </c:pt>
                <c:pt idx="5">
                  <c:v>94.850427350427339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DFF-4205-8366-8E5CA25C65BD}"/>
            </c:ext>
          </c:extLst>
        </c:ser>
        <c:ser>
          <c:idx val="11"/>
          <c:order val="3"/>
          <c:tx>
            <c:v>LB3</c:v>
          </c:tx>
          <c:spPr>
            <a:ln w="571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F-4205-8366-8E5CA25C65BD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Slutsky'!$AN$72:$AS$72</c:f>
              <c:numCache>
                <c:formatCode>General</c:formatCode>
                <c:ptCount val="6"/>
                <c:pt idx="0">
                  <c:v>0</c:v>
                </c:pt>
                <c:pt idx="1">
                  <c:v>11.74825174825175</c:v>
                </c:pt>
                <c:pt idx="2">
                  <c:v>23.4965034965035</c:v>
                </c:pt>
                <c:pt idx="3">
                  <c:v>35.244755244755247</c:v>
                </c:pt>
                <c:pt idx="4">
                  <c:v>46.993006993007</c:v>
                </c:pt>
                <c:pt idx="5">
                  <c:v>58.741258741258747</c:v>
                </c:pt>
              </c:numCache>
            </c:numRef>
          </c:xVal>
          <c:yVal>
            <c:numRef>
              <c:f>'11 Slutsky'!$AN$73:$AS$73</c:f>
              <c:numCache>
                <c:formatCode>General</c:formatCode>
                <c:ptCount val="6"/>
                <c:pt idx="0">
                  <c:v>166.66666666666666</c:v>
                </c:pt>
                <c:pt idx="1">
                  <c:v>133.33333333333331</c:v>
                </c:pt>
                <c:pt idx="2">
                  <c:v>99.999999999999986</c:v>
                </c:pt>
                <c:pt idx="3">
                  <c:v>66.666666666666657</c:v>
                </c:pt>
                <c:pt idx="4">
                  <c:v>33.333333333333314</c:v>
                </c:pt>
                <c:pt idx="5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DFF-4205-8366-8E5CA25C65BD}"/>
            </c:ext>
          </c:extLst>
        </c:ser>
        <c:ser>
          <c:idx val="12"/>
          <c:order val="4"/>
          <c:tx>
            <c:v>I3</c:v>
          </c:tx>
          <c:spPr>
            <a:ln w="5397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'11 Slutsky'!$AN$77:$AS$77</c:f>
              <c:numCache>
                <c:formatCode>General</c:formatCode>
                <c:ptCount val="6"/>
                <c:pt idx="0">
                  <c:v>18.092307692307696</c:v>
                </c:pt>
                <c:pt idx="1">
                  <c:v>20.676923076923082</c:v>
                </c:pt>
                <c:pt idx="2">
                  <c:v>23.261538461538464</c:v>
                </c:pt>
                <c:pt idx="3">
                  <c:v>25.84615384615385</c:v>
                </c:pt>
                <c:pt idx="4">
                  <c:v>28.430769230769236</c:v>
                </c:pt>
                <c:pt idx="5">
                  <c:v>33.600000000000009</c:v>
                </c:pt>
              </c:numCache>
            </c:numRef>
          </c:xVal>
          <c:yVal>
            <c:numRef>
              <c:f>'11 Slutsky'!$AN$78:$AS$78</c:f>
              <c:numCache>
                <c:formatCode>General</c:formatCode>
                <c:ptCount val="6"/>
                <c:pt idx="0">
                  <c:v>124.76190476190474</c:v>
                </c:pt>
                <c:pt idx="1">
                  <c:v>111.66666666666664</c:v>
                </c:pt>
                <c:pt idx="2">
                  <c:v>101.48148148148148</c:v>
                </c:pt>
                <c:pt idx="3">
                  <c:v>93.333333333333329</c:v>
                </c:pt>
                <c:pt idx="4">
                  <c:v>86.666666666666657</c:v>
                </c:pt>
                <c:pt idx="5">
                  <c:v>76.410256410256409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8DFF-4205-8366-8E5CA25C65BD}"/>
            </c:ext>
          </c:extLst>
        </c:ser>
        <c:ser>
          <c:idx val="10"/>
          <c:order val="5"/>
          <c:tx>
            <c:v>E1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Slutsky'!$D$20</c:f>
              <c:numCache>
                <c:formatCode>General</c:formatCode>
                <c:ptCount val="1"/>
                <c:pt idx="0">
                  <c:v>31.818181818181817</c:v>
                </c:pt>
              </c:numCache>
            </c:numRef>
          </c:xVal>
          <c:yVal>
            <c:numRef>
              <c:f>'11 Slutsky'!$F$20</c:f>
              <c:numCache>
                <c:formatCode>0.00</c:formatCode>
                <c:ptCount val="1"/>
                <c:pt idx="0">
                  <c:v>108.33333333333334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8DFF-4205-8366-8E5CA25C65BD}"/>
            </c:ext>
          </c:extLst>
        </c:ser>
        <c:ser>
          <c:idx val="13"/>
          <c:order val="6"/>
          <c:tx>
            <c:v>E2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dLblPos val="r"/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Slutsky'!$C$37</c:f>
              <c:numCache>
                <c:formatCode>General</c:formatCode>
                <c:ptCount val="1"/>
                <c:pt idx="0">
                  <c:v>29.713286713286713</c:v>
                </c:pt>
              </c:numCache>
            </c:numRef>
          </c:xVal>
          <c:yVal>
            <c:numRef>
              <c:f>'11 Slutsky'!$E$37</c:f>
              <c:numCache>
                <c:formatCode>0.00</c:formatCode>
                <c:ptCount val="1"/>
                <c:pt idx="0">
                  <c:v>114.30555555555554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8DFF-4205-8366-8E5CA25C65BD}"/>
            </c:ext>
          </c:extLst>
        </c:ser>
        <c:ser>
          <c:idx val="14"/>
          <c:order val="7"/>
          <c:tx>
            <c:v>E3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75000"/>
                </a:schemeClr>
              </a:solidFill>
            </c:spPr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Slutsky'!$D$54</c:f>
              <c:numCache>
                <c:formatCode>General</c:formatCode>
                <c:ptCount val="1"/>
                <c:pt idx="0">
                  <c:v>25.84615384615385</c:v>
                </c:pt>
              </c:numCache>
            </c:numRef>
          </c:xVal>
          <c:yVal>
            <c:numRef>
              <c:f>'11 Slutsky'!$F$54</c:f>
              <c:numCache>
                <c:formatCode>0.00</c:formatCode>
                <c:ptCount val="1"/>
                <c:pt idx="0">
                  <c:v>93.333333333333329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8DFF-4205-8366-8E5CA25C65BD}"/>
            </c:ext>
          </c:extLst>
        </c:ser>
        <c:ser>
          <c:idx val="2"/>
          <c:order val="8"/>
          <c:tx>
            <c:v>PCC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3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FF-4205-8366-8E5CA25C65BD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Slutsky'!$AS$83:$AV$83</c:f>
              <c:numCache>
                <c:formatCode>General</c:formatCode>
                <c:ptCount val="4"/>
                <c:pt idx="0">
                  <c:v>12.727272727272727</c:v>
                </c:pt>
                <c:pt idx="1">
                  <c:v>31.818181818181817</c:v>
                </c:pt>
                <c:pt idx="2">
                  <c:v>29.713286713286713</c:v>
                </c:pt>
                <c:pt idx="3">
                  <c:v>47.541258741258744</c:v>
                </c:pt>
              </c:numCache>
            </c:numRef>
          </c:xVal>
          <c:yVal>
            <c:numRef>
              <c:f>'11 Slutsky'!$AS$84:$AV$84</c:f>
              <c:numCache>
                <c:formatCode>General</c:formatCode>
                <c:ptCount val="4"/>
                <c:pt idx="0">
                  <c:v>162.49999999999986</c:v>
                </c:pt>
                <c:pt idx="1">
                  <c:v>108.33333333333334</c:v>
                </c:pt>
                <c:pt idx="2">
                  <c:v>114.30555555555554</c:v>
                </c:pt>
                <c:pt idx="3">
                  <c:v>63.722222222222342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8DFF-4205-8366-8E5CA25C65BD}"/>
            </c:ext>
          </c:extLst>
        </c:ser>
        <c:ser>
          <c:idx val="5"/>
          <c:order val="9"/>
          <c:tx>
            <c:v>ICC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3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FF-4205-8366-8E5CA25C65BD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Slutsky'!$AS$88:$AV$88</c:f>
              <c:numCache>
                <c:formatCode>General</c:formatCode>
                <c:ptCount val="4"/>
                <c:pt idx="0">
                  <c:v>11.885314685314686</c:v>
                </c:pt>
                <c:pt idx="1">
                  <c:v>29.713286713286713</c:v>
                </c:pt>
                <c:pt idx="2">
                  <c:v>25.84615384615385</c:v>
                </c:pt>
                <c:pt idx="3">
                  <c:v>41.353846153846163</c:v>
                </c:pt>
              </c:numCache>
            </c:numRef>
          </c:xVal>
          <c:yVal>
            <c:numRef>
              <c:f>'11 Slutsky'!$AS$89:$AV$89</c:f>
              <c:numCache>
                <c:formatCode>General</c:formatCode>
                <c:ptCount val="4"/>
                <c:pt idx="0">
                  <c:v>17.620956399437361</c:v>
                </c:pt>
                <c:pt idx="1">
                  <c:v>114.30555555555554</c:v>
                </c:pt>
                <c:pt idx="2">
                  <c:v>93.333333333333329</c:v>
                </c:pt>
                <c:pt idx="3">
                  <c:v>177.43459915611822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8DFF-4205-8366-8E5CA25C65BD}"/>
            </c:ext>
          </c:extLst>
        </c:ser>
        <c:ser>
          <c:idx val="6"/>
          <c:order val="10"/>
          <c:tx>
            <c:v>se</c:v>
          </c:tx>
          <c:spPr>
            <a:ln>
              <a:solidFill>
                <a:srgbClr val="FFFF00"/>
              </a:solidFill>
              <a:tailEnd type="arrow"/>
            </a:ln>
          </c:spPr>
          <c:marker>
            <c:symbol val="none"/>
          </c:marker>
          <c:dLbls>
            <c:dLbl>
              <c:idx val="1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FF-4205-8366-8E5CA25C65BD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Slutsky'!$AM$95:$AN$95</c:f>
              <c:numCache>
                <c:formatCode>General</c:formatCode>
                <c:ptCount val="2"/>
                <c:pt idx="0">
                  <c:v>31.818181818181817</c:v>
                </c:pt>
                <c:pt idx="1">
                  <c:v>29.713286713286713</c:v>
                </c:pt>
              </c:numCache>
            </c:numRef>
          </c:xVal>
          <c:yVal>
            <c:numRef>
              <c:f>'11 Slutsky'!$AM$96:$AN$96</c:f>
              <c:numCache>
                <c:formatCode>General</c:formatCode>
                <c:ptCount val="2"/>
                <c:pt idx="0">
                  <c:v>10.833333333333336</c:v>
                </c:pt>
                <c:pt idx="1">
                  <c:v>10.833333333333336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8DFF-4205-8366-8E5CA25C65BD}"/>
            </c:ext>
          </c:extLst>
        </c:ser>
        <c:ser>
          <c:idx val="7"/>
          <c:order val="11"/>
          <c:tx>
            <c:v>de</c:v>
          </c:tx>
          <c:spPr>
            <a:ln>
              <a:solidFill>
                <a:srgbClr val="92D050"/>
              </a:solidFill>
              <a:tailEnd type="arrow"/>
            </a:ln>
          </c:spPr>
          <c:marker>
            <c:symbol val="none"/>
          </c:marker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l"/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FF-4205-8366-8E5CA25C65BD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Slutsky'!$AP$95:$AQ$95</c:f>
              <c:numCache>
                <c:formatCode>General</c:formatCode>
                <c:ptCount val="2"/>
                <c:pt idx="0">
                  <c:v>31.818181818181817</c:v>
                </c:pt>
                <c:pt idx="1">
                  <c:v>25.84615384615385</c:v>
                </c:pt>
              </c:numCache>
            </c:numRef>
          </c:xVal>
          <c:yVal>
            <c:numRef>
              <c:f>'11 Slutsky'!$AP$96:$AQ$96</c:f>
              <c:numCache>
                <c:formatCode>General</c:formatCode>
                <c:ptCount val="2"/>
                <c:pt idx="0">
                  <c:v>21.666666666666671</c:v>
                </c:pt>
                <c:pt idx="1">
                  <c:v>21.666666666666671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8DFF-4205-8366-8E5CA25C65BD}"/>
            </c:ext>
          </c:extLst>
        </c:ser>
        <c:ser>
          <c:idx val="8"/>
          <c:order val="12"/>
          <c:tx>
            <c:v>ie</c:v>
          </c:tx>
          <c:spPr>
            <a:ln>
              <a:solidFill>
                <a:srgbClr val="FF0000"/>
              </a:solidFill>
              <a:tailEnd type="triangle" w="lg" len="sm"/>
            </a:ln>
          </c:spPr>
          <c:marker>
            <c:symbol val="none"/>
          </c:marker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FF-4205-8366-8E5CA25C65BD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Slutsky'!$AS$95:$AT$95</c:f>
              <c:numCache>
                <c:formatCode>General</c:formatCode>
                <c:ptCount val="2"/>
                <c:pt idx="0">
                  <c:v>29.713286713286713</c:v>
                </c:pt>
                <c:pt idx="1">
                  <c:v>25.84615384615385</c:v>
                </c:pt>
              </c:numCache>
            </c:numRef>
          </c:xVal>
          <c:yVal>
            <c:numRef>
              <c:f>'11 Slutsky'!$AS$96:$AT$96</c:f>
              <c:numCache>
                <c:formatCode>General</c:formatCode>
                <c:ptCount val="2"/>
                <c:pt idx="0">
                  <c:v>27.083333333333336</c:v>
                </c:pt>
                <c:pt idx="1">
                  <c:v>27.083333333333336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4-8DFF-4205-8366-8E5CA25C65BD}"/>
            </c:ext>
          </c:extLst>
        </c:ser>
        <c:ser>
          <c:idx val="9"/>
          <c:order val="13"/>
          <c:tx>
            <c:v>  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'11 Slutsky'!$AR$10:$AS$10</c:f>
              <c:numCache>
                <c:formatCode>General</c:formatCode>
                <c:ptCount val="2"/>
                <c:pt idx="0">
                  <c:v>31.818181818181817</c:v>
                </c:pt>
                <c:pt idx="1">
                  <c:v>31.818181818181817</c:v>
                </c:pt>
              </c:numCache>
            </c:numRef>
          </c:xVal>
          <c:yVal>
            <c:numRef>
              <c:f>'11 Slutsky'!$AR$11:$AS$11</c:f>
              <c:numCache>
                <c:formatCode>General</c:formatCode>
                <c:ptCount val="2"/>
                <c:pt idx="0">
                  <c:v>0</c:v>
                </c:pt>
                <c:pt idx="1">
                  <c:v>108.33333333333334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8DFF-4205-8366-8E5CA25C65BD}"/>
            </c:ext>
          </c:extLst>
        </c:ser>
        <c:ser>
          <c:idx val="15"/>
          <c:order val="14"/>
          <c:tx>
            <c:v>  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'11 Slutsky'!$AR$37:$AS$37</c:f>
              <c:numCache>
                <c:formatCode>General</c:formatCode>
                <c:ptCount val="2"/>
                <c:pt idx="0">
                  <c:v>29.713286713286713</c:v>
                </c:pt>
                <c:pt idx="1">
                  <c:v>29.713286713286713</c:v>
                </c:pt>
              </c:numCache>
            </c:numRef>
          </c:xVal>
          <c:yVal>
            <c:numRef>
              <c:f>'11 Slutsky'!$AR$38:$AS$38</c:f>
              <c:numCache>
                <c:formatCode>General</c:formatCode>
                <c:ptCount val="2"/>
                <c:pt idx="0">
                  <c:v>0</c:v>
                </c:pt>
                <c:pt idx="1">
                  <c:v>114.30555555555554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6-8DFF-4205-8366-8E5CA25C65BD}"/>
            </c:ext>
          </c:extLst>
        </c:ser>
        <c:ser>
          <c:idx val="16"/>
          <c:order val="15"/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'11 Slutsky'!$AR$64:$AS$64</c:f>
              <c:numCache>
                <c:formatCode>General</c:formatCode>
                <c:ptCount val="2"/>
                <c:pt idx="0">
                  <c:v>25.84615384615385</c:v>
                </c:pt>
                <c:pt idx="1">
                  <c:v>25.84615384615385</c:v>
                </c:pt>
              </c:numCache>
            </c:numRef>
          </c:xVal>
          <c:yVal>
            <c:numRef>
              <c:f>'11 Slutsky'!$AR$65:$AS$65</c:f>
              <c:numCache>
                <c:formatCode>General</c:formatCode>
                <c:ptCount val="2"/>
                <c:pt idx="0">
                  <c:v>0</c:v>
                </c:pt>
                <c:pt idx="1">
                  <c:v>93.333333333333329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7-8DFF-4205-8366-8E5CA25C65BD}"/>
            </c:ext>
          </c:extLst>
        </c:ser>
        <c:ser>
          <c:idx val="1"/>
          <c:order val="16"/>
          <c:tx>
            <c:v>I1</c:v>
          </c:tx>
          <c:spPr>
            <a:ln w="15875"/>
          </c:spPr>
          <c:marker>
            <c:symbol val="none"/>
          </c:marker>
          <c:xVal>
            <c:numRef>
              <c:f>'11 Slutsky'!$AN$23:$AS$23</c:f>
              <c:numCache>
                <c:formatCode>General</c:formatCode>
                <c:ptCount val="6"/>
                <c:pt idx="0">
                  <c:v>22.27272727272727</c:v>
                </c:pt>
                <c:pt idx="1">
                  <c:v>25.454545454545453</c:v>
                </c:pt>
                <c:pt idx="2">
                  <c:v>28.636363636363637</c:v>
                </c:pt>
                <c:pt idx="3">
                  <c:v>31.818181818181817</c:v>
                </c:pt>
                <c:pt idx="4">
                  <c:v>35</c:v>
                </c:pt>
                <c:pt idx="5">
                  <c:v>41.36363636363636</c:v>
                </c:pt>
              </c:numCache>
            </c:numRef>
          </c:xVal>
          <c:yVal>
            <c:numRef>
              <c:f>'11 Slutsky'!$AN$24:$AS$24</c:f>
              <c:numCache>
                <c:formatCode>General</c:formatCode>
                <c:ptCount val="6"/>
                <c:pt idx="0">
                  <c:v>133.33333333333334</c:v>
                </c:pt>
                <c:pt idx="1">
                  <c:v>122.91666666666667</c:v>
                </c:pt>
                <c:pt idx="2">
                  <c:v>114.81481481481481</c:v>
                </c:pt>
                <c:pt idx="3">
                  <c:v>108.33333333333334</c:v>
                </c:pt>
                <c:pt idx="4">
                  <c:v>103.03030303030303</c:v>
                </c:pt>
                <c:pt idx="5">
                  <c:v>94.871794871794876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8-8DFF-4205-8366-8E5CA25C65BD}"/>
            </c:ext>
          </c:extLst>
        </c:ser>
        <c:axId val="126692352"/>
        <c:axId val="126710912"/>
      </c:scatterChart>
      <c:valAx>
        <c:axId val="126692352"/>
        <c:scaling>
          <c:orientation val="minMax"/>
        </c:scaling>
        <c:axPos val="b"/>
        <c:majorGridlines>
          <c:spPr>
            <a:ln>
              <a:solidFill>
                <a:srgbClr val="4F81BD">
                  <a:alpha val="39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Q</a:t>
                </a:r>
                <a:r>
                  <a:rPr lang="pl-PL" sz="14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0.9239344886002866"/>
              <c:y val="0.94202012571306759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6710912"/>
        <c:crosses val="autoZero"/>
        <c:crossBetween val="midCat"/>
      </c:valAx>
      <c:valAx>
        <c:axId val="126710912"/>
        <c:scaling>
          <c:orientation val="minMax"/>
        </c:scaling>
        <c:axPos val="l"/>
        <c:majorGridlines>
          <c:spPr>
            <a:ln>
              <a:solidFill>
                <a:srgbClr val="4F81BD">
                  <a:alpha val="38000"/>
                </a:srgb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 sz="1400"/>
                  <a:t>Q</a:t>
                </a:r>
                <a:r>
                  <a:rPr lang="pl-PL" sz="1400" baseline="-25000"/>
                  <a:t>y</a:t>
                </a:r>
              </a:p>
            </c:rich>
          </c:tx>
          <c:layout>
            <c:manualLayout>
              <c:xMode val="edge"/>
              <c:yMode val="edge"/>
              <c:x val="3.8094503613101288E-3"/>
              <c:y val="2.5210603287135241E-2"/>
            </c:manualLayout>
          </c:layout>
        </c:title>
        <c:numFmt formatCode="General" sourceLinked="1"/>
        <c:tickLblPos val="nextTo"/>
        <c:crossAx val="126692352"/>
        <c:crosses val="autoZero"/>
        <c:crossBetween val="midCat"/>
      </c:valAx>
    </c:plotArea>
    <c:legend>
      <c:legendPos val="r"/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0.89891285626515105"/>
          <c:y val="0.12579481070401255"/>
          <c:w val="9.1390304909241271E-2"/>
          <c:h val="0.76165518978024349"/>
        </c:manualLayout>
      </c:layout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200" b="1" i="0" baseline="0">
                <a:effectLst/>
              </a:rPr>
              <a:t>Demand curve good x - normal goods</a:t>
            </a:r>
            <a:endParaRPr lang="pl-PL" sz="1200">
              <a:effectLst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7.9403550425552374E-2"/>
          <c:y val="0.25210294981783998"/>
          <c:w val="0.69325154408456502"/>
          <c:h val="0.60244650301065306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'11 Slutsky'!$AN$108:$AO$108</c:f>
              <c:numCache>
                <c:formatCode>General</c:formatCode>
                <c:ptCount val="2"/>
                <c:pt idx="0">
                  <c:v>31.818181818181817</c:v>
                </c:pt>
                <c:pt idx="1">
                  <c:v>25.84615384615385</c:v>
                </c:pt>
              </c:numCache>
            </c:numRef>
          </c:xVal>
          <c:yVal>
            <c:numRef>
              <c:f>'11 Slutsky'!$AN$109:$AO$109</c:f>
              <c:numCache>
                <c:formatCode>General</c:formatCode>
                <c:ptCount val="2"/>
                <c:pt idx="0">
                  <c:v>11</c:v>
                </c:pt>
                <c:pt idx="1">
                  <c:v>17.023809523809522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D23-4B19-98AF-212D064E571C}"/>
            </c:ext>
          </c:extLst>
        </c:ser>
        <c:ser>
          <c:idx val="1"/>
          <c:order val="1"/>
          <c:tx>
            <c:v>  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'11 Slutsky'!$AY$104:$AZ$104</c:f>
              <c:numCache>
                <c:formatCode>General</c:formatCode>
                <c:ptCount val="2"/>
                <c:pt idx="0">
                  <c:v>31.818181818181817</c:v>
                </c:pt>
                <c:pt idx="1">
                  <c:v>31.818181818181817</c:v>
                </c:pt>
              </c:numCache>
            </c:numRef>
          </c:xVal>
          <c:yVal>
            <c:numRef>
              <c:f>'11 Slutsky'!$AY$105:$AZ$105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23-4B19-98AF-212D064E571C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'11 Slutsky'!$BC$104:$BD$104</c:f>
              <c:numCache>
                <c:formatCode>General</c:formatCode>
                <c:ptCount val="2"/>
                <c:pt idx="0">
                  <c:v>25.84615384615385</c:v>
                </c:pt>
                <c:pt idx="1">
                  <c:v>25.84615384615385</c:v>
                </c:pt>
              </c:numCache>
            </c:numRef>
          </c:xVal>
          <c:yVal>
            <c:numRef>
              <c:f>'11 Slutsky'!$BC$105:$BD$105</c:f>
              <c:numCache>
                <c:formatCode>General</c:formatCode>
                <c:ptCount val="2"/>
                <c:pt idx="0">
                  <c:v>0</c:v>
                </c:pt>
                <c:pt idx="1">
                  <c:v>17.023809523809522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D23-4B19-98AF-212D064E571C}"/>
            </c:ext>
          </c:extLst>
        </c:ser>
        <c:axId val="126830080"/>
        <c:axId val="126832000"/>
      </c:scatterChart>
      <c:scatterChart>
        <c:scatterStyle val="lineMarker"/>
        <c:ser>
          <c:idx val="3"/>
          <c:order val="3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</c:spPr>
          </c:marker>
          <c:xVal>
            <c:numRef>
              <c:f>'11 Slutsky'!$AN$105:$AP$105</c:f>
              <c:numCache>
                <c:formatCode>General</c:formatCode>
                <c:ptCount val="3"/>
                <c:pt idx="0">
                  <c:v>31.818181818181817</c:v>
                </c:pt>
                <c:pt idx="1">
                  <c:v>29.713286713286713</c:v>
                </c:pt>
                <c:pt idx="2">
                  <c:v>25.84615384615385</c:v>
                </c:pt>
              </c:numCache>
            </c:numRef>
          </c:xVal>
          <c:yVal>
            <c:numRef>
              <c:f>'11 Slutsky'!$AN$104:$AP$104</c:f>
              <c:numCache>
                <c:formatCode>General</c:formatCode>
                <c:ptCount val="3"/>
                <c:pt idx="0">
                  <c:v>11</c:v>
                </c:pt>
                <c:pt idx="1">
                  <c:v>17.023809523809522</c:v>
                </c:pt>
                <c:pt idx="2">
                  <c:v>17.023809523809522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7D23-4B19-98AF-212D064E571C}"/>
            </c:ext>
          </c:extLst>
        </c:ser>
        <c:ser>
          <c:idx val="4"/>
          <c:order val="4"/>
          <c:tx>
            <c:strRef>
              <c:f>'11 Slutsky'!$AQ$103</c:f>
              <c:strCache>
                <c:ptCount val="1"/>
                <c:pt idx="0">
                  <c:v>-0,482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1.5361168900285481E-2"/>
                  <c:y val="-3.616792311041290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pl-PL"/>
                </a:p>
              </c:txPr>
              <c:dLblPos val="r"/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3-4B19-98AF-212D064E571C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Slutsky'!$AN$105</c:f>
              <c:numCache>
                <c:formatCode>General</c:formatCode>
                <c:ptCount val="1"/>
                <c:pt idx="0">
                  <c:v>31.818181818181817</c:v>
                </c:pt>
              </c:numCache>
            </c:numRef>
          </c:xVal>
          <c:yVal>
            <c:numRef>
              <c:f>'11 Slutsky'!$AN$104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7D23-4B19-98AF-212D064E571C}"/>
            </c:ext>
          </c:extLst>
        </c:ser>
        <c:axId val="126830080"/>
        <c:axId val="126832000"/>
      </c:scatterChart>
      <c:valAx>
        <c:axId val="126830080"/>
        <c:scaling>
          <c:orientation val="minMax"/>
        </c:scaling>
        <c:axPos val="b"/>
        <c:majorGridlines>
          <c:spPr>
            <a:ln>
              <a:solidFill>
                <a:srgbClr val="4F81BD">
                  <a:alpha val="38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pl-PL" sz="1200"/>
                  <a:t>Q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0.90764374961296757"/>
              <c:y val="0.84043609933373709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6832000"/>
        <c:crosses val="autoZero"/>
        <c:crossBetween val="midCat"/>
      </c:valAx>
      <c:valAx>
        <c:axId val="126832000"/>
        <c:scaling>
          <c:orientation val="minMax"/>
        </c:scaling>
        <c:axPos val="l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 sz="1200"/>
                  <a:t>P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3.9640072214203799E-2"/>
              <c:y val="6.8154103114733036E-2"/>
            </c:manualLayout>
          </c:layout>
        </c:title>
        <c:numFmt formatCode="General" sourceLinked="1"/>
        <c:tickLblPos val="nextTo"/>
        <c:crossAx val="126830080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0802720894008062"/>
          <c:y val="0.19786135124717821"/>
          <c:w val="0.10705460365548741"/>
          <c:h val="0.16350568067103521"/>
        </c:manualLayout>
      </c:layout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200" b="1" i="0" baseline="0">
                <a:effectLst/>
              </a:rPr>
              <a:t>Demand curve good x- inferior goods</a:t>
            </a:r>
            <a:endParaRPr lang="pl-PL" sz="1200">
              <a:effectLst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7.9403550425552374E-2"/>
          <c:y val="0.25210294981783998"/>
          <c:w val="0.69325154408456502"/>
          <c:h val="0.60244650301065306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'11 Slutsky'!$AR$109:$AS$109</c:f>
              <c:numCache>
                <c:formatCode>General</c:formatCode>
                <c:ptCount val="2"/>
                <c:pt idx="0">
                  <c:v>31.818181818181817</c:v>
                </c:pt>
                <c:pt idx="1">
                  <c:v>29.713286713286713</c:v>
                </c:pt>
              </c:numCache>
            </c:numRef>
          </c:xVal>
          <c:yVal>
            <c:numRef>
              <c:f>'11 Slutsky'!$AR$110:$AS$110</c:f>
              <c:numCache>
                <c:formatCode>General</c:formatCode>
                <c:ptCount val="2"/>
                <c:pt idx="0">
                  <c:v>11</c:v>
                </c:pt>
                <c:pt idx="1">
                  <c:v>17.023809523809522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44D-43A8-9A73-8D5D23E17375}"/>
            </c:ext>
          </c:extLst>
        </c:ser>
        <c:ser>
          <c:idx val="1"/>
          <c:order val="1"/>
          <c:tx>
            <c:v>  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'11 Slutsky'!$AY$104:$AZ$104</c:f>
              <c:numCache>
                <c:formatCode>General</c:formatCode>
                <c:ptCount val="2"/>
                <c:pt idx="0">
                  <c:v>31.818181818181817</c:v>
                </c:pt>
                <c:pt idx="1">
                  <c:v>31.818181818181817</c:v>
                </c:pt>
              </c:numCache>
            </c:numRef>
          </c:xVal>
          <c:yVal>
            <c:numRef>
              <c:f>'11 Slutsky'!$AY$105:$AZ$105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44D-43A8-9A73-8D5D23E17375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'11 Slutsky'!$BA$104:$BB$104</c:f>
              <c:numCache>
                <c:formatCode>General</c:formatCode>
                <c:ptCount val="2"/>
                <c:pt idx="0">
                  <c:v>29.713286713286713</c:v>
                </c:pt>
                <c:pt idx="1">
                  <c:v>29.713286713286713</c:v>
                </c:pt>
              </c:numCache>
            </c:numRef>
          </c:xVal>
          <c:yVal>
            <c:numRef>
              <c:f>'11 Slutsky'!$BA$105:$BB$105</c:f>
              <c:numCache>
                <c:formatCode>General</c:formatCode>
                <c:ptCount val="2"/>
                <c:pt idx="0">
                  <c:v>0</c:v>
                </c:pt>
                <c:pt idx="1">
                  <c:v>17.023809523809522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44D-43A8-9A73-8D5D23E17375}"/>
            </c:ext>
          </c:extLst>
        </c:ser>
        <c:ser>
          <c:idx val="6"/>
          <c:order val="5"/>
          <c:tx>
            <c:v>  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'11 Slutsky'!$AY$104:$AZ$104</c:f>
              <c:numCache>
                <c:formatCode>General</c:formatCode>
                <c:ptCount val="2"/>
                <c:pt idx="0">
                  <c:v>31.818181818181817</c:v>
                </c:pt>
                <c:pt idx="1">
                  <c:v>31.818181818181817</c:v>
                </c:pt>
              </c:numCache>
            </c:numRef>
          </c:xVal>
          <c:yVal>
            <c:numRef>
              <c:f>'11 Slutsky'!$AY$105:$AZ$105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44D-43A8-9A73-8D5D23E17375}"/>
            </c:ext>
          </c:extLst>
        </c:ser>
        <c:ser>
          <c:idx val="8"/>
          <c:order val="6"/>
          <c:spPr>
            <a:ln w="28575">
              <a:noFill/>
            </a:ln>
          </c:spPr>
          <c:marker>
            <c:symbol val="none"/>
          </c:marker>
          <c:xVal>
            <c:numRef>
              <c:f>'11 Slutsky'!$AO$105:$AP$105</c:f>
              <c:numCache>
                <c:formatCode>General</c:formatCode>
                <c:ptCount val="2"/>
                <c:pt idx="0">
                  <c:v>29.713286713286713</c:v>
                </c:pt>
                <c:pt idx="1">
                  <c:v>25.84615384615385</c:v>
                </c:pt>
              </c:numCache>
            </c:numRef>
          </c:xVal>
          <c:yVal>
            <c:numRef>
              <c:f>'11 Slutsky'!$AN$104:$AP$104</c:f>
              <c:numCache>
                <c:formatCode>General</c:formatCode>
                <c:ptCount val="3"/>
                <c:pt idx="0">
                  <c:v>11</c:v>
                </c:pt>
                <c:pt idx="1">
                  <c:v>17.023809523809522</c:v>
                </c:pt>
                <c:pt idx="2">
                  <c:v>17.023809523809522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44D-43A8-9A73-8D5D23E17375}"/>
            </c:ext>
          </c:extLst>
        </c:ser>
        <c:ser>
          <c:idx val="9"/>
          <c:order val="7"/>
          <c:tx>
            <c:strRef>
              <c:f>'11 Slutsky'!$AQ$103</c:f>
              <c:strCache>
                <c:ptCount val="1"/>
                <c:pt idx="0">
                  <c:v>-0,482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'11 Slutsky'!$AN$105</c:f>
              <c:numCache>
                <c:formatCode>General</c:formatCode>
                <c:ptCount val="1"/>
                <c:pt idx="0">
                  <c:v>31.818181818181817</c:v>
                </c:pt>
              </c:numCache>
            </c:numRef>
          </c:xVal>
          <c:yVal>
            <c:numRef>
              <c:f>'11 Slutsky'!$AN$104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44D-43A8-9A73-8D5D23E17375}"/>
            </c:ext>
          </c:extLst>
        </c:ser>
        <c:axId val="126904960"/>
        <c:axId val="126931712"/>
      </c:scatterChart>
      <c:scatterChart>
        <c:scatterStyle val="lineMarker"/>
        <c:ser>
          <c:idx val="3"/>
          <c:order val="3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</c:spPr>
          </c:marker>
          <c:xVal>
            <c:numRef>
              <c:f>'11 Slutsky'!$AN$105:$AP$105</c:f>
              <c:numCache>
                <c:formatCode>General</c:formatCode>
                <c:ptCount val="3"/>
                <c:pt idx="0">
                  <c:v>31.818181818181817</c:v>
                </c:pt>
                <c:pt idx="1">
                  <c:v>29.713286713286713</c:v>
                </c:pt>
                <c:pt idx="2">
                  <c:v>25.84615384615385</c:v>
                </c:pt>
              </c:numCache>
            </c:numRef>
          </c:xVal>
          <c:yVal>
            <c:numRef>
              <c:f>'11 Slutsky'!$AN$104:$AP$104</c:f>
              <c:numCache>
                <c:formatCode>General</c:formatCode>
                <c:ptCount val="3"/>
                <c:pt idx="0">
                  <c:v>11</c:v>
                </c:pt>
                <c:pt idx="1">
                  <c:v>17.023809523809522</c:v>
                </c:pt>
                <c:pt idx="2">
                  <c:v>17.023809523809522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A44D-43A8-9A73-8D5D23E17375}"/>
            </c:ext>
          </c:extLst>
        </c:ser>
        <c:ser>
          <c:idx val="4"/>
          <c:order val="4"/>
          <c:tx>
            <c:strRef>
              <c:f>'11 Slutsky'!$AR$103</c:f>
              <c:strCache>
                <c:ptCount val="1"/>
                <c:pt idx="0">
                  <c:v>-0,159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1.5361168900285481E-2"/>
                  <c:y val="-3.616792311041290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pl-PL"/>
                </a:p>
              </c:txPr>
              <c:dLblPos val="r"/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4D-43A8-9A73-8D5D23E173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pl-PL"/>
              </a:p>
            </c:tx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'11 Slutsky'!$AR$105</c:f>
              <c:numCache>
                <c:formatCode>General</c:formatCode>
                <c:ptCount val="1"/>
                <c:pt idx="0">
                  <c:v>31.818181818181817</c:v>
                </c:pt>
              </c:numCache>
            </c:numRef>
          </c:xVal>
          <c:yVal>
            <c:numRef>
              <c:f>'11 Slutsky'!$AR$104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A44D-43A8-9A73-8D5D23E17375}"/>
            </c:ext>
          </c:extLst>
        </c:ser>
        <c:axId val="126904960"/>
        <c:axId val="126931712"/>
      </c:scatterChart>
      <c:valAx>
        <c:axId val="126904960"/>
        <c:scaling>
          <c:orientation val="minMax"/>
        </c:scaling>
        <c:axPos val="b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pl-PL" sz="1200"/>
                  <a:t>Q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0.90764374961296757"/>
              <c:y val="0.8404360993337372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6931712"/>
        <c:crosses val="autoZero"/>
        <c:crossBetween val="midCat"/>
      </c:valAx>
      <c:valAx>
        <c:axId val="126931712"/>
        <c:scaling>
          <c:orientation val="minMax"/>
        </c:scaling>
        <c:axPos val="l"/>
        <c:majorGridlines>
          <c:spPr>
            <a:ln>
              <a:solidFill>
                <a:srgbClr val="4F81BD">
                  <a:alpha val="40000"/>
                </a:srgb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 sz="1200"/>
                  <a:t>P</a:t>
                </a:r>
                <a:r>
                  <a:rPr lang="pl-PL" sz="1200" baseline="-25000"/>
                  <a:t>x</a:t>
                </a:r>
              </a:p>
            </c:rich>
          </c:tx>
          <c:layout>
            <c:manualLayout>
              <c:xMode val="edge"/>
              <c:yMode val="edge"/>
              <c:x val="3.9640072214203799E-2"/>
              <c:y val="6.8154039273518902E-2"/>
            </c:manualLayout>
          </c:layout>
        </c:title>
        <c:numFmt formatCode="General" sourceLinked="1"/>
        <c:tickLblPos val="nextTo"/>
        <c:crossAx val="126904960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0802720894008062"/>
          <c:y val="0.19786163853264171"/>
          <c:w val="0.10705460365548741"/>
          <c:h val="0.1635052976237501"/>
        </c:manualLayout>
      </c:layout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Unusual consumer behaviors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2289723929365791E-2"/>
          <c:y val="9.3161610851008853E-2"/>
          <c:w val="0.74539588801400503"/>
          <c:h val="0.8326195683872849"/>
        </c:manualLayout>
      </c:layout>
      <c:scatterChart>
        <c:scatterStyle val="smoothMarker"/>
        <c:ser>
          <c:idx val="0"/>
          <c:order val="0"/>
          <c:tx>
            <c:v> D1</c:v>
          </c:tx>
          <c:marker>
            <c:symbol val="none"/>
          </c:marker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D-4915-88DB-9A729A6F8E86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'12NietypZach'!$AA$8:$AG$8</c:f>
              <c:numCache>
                <c:formatCode>General</c:formatCode>
                <c:ptCount val="7"/>
                <c:pt idx="0">
                  <c:v>168</c:v>
                </c:pt>
                <c:pt idx="1">
                  <c:v>147</c:v>
                </c:pt>
                <c:pt idx="2">
                  <c:v>126</c:v>
                </c:pt>
                <c:pt idx="3">
                  <c:v>105</c:v>
                </c:pt>
                <c:pt idx="4">
                  <c:v>84</c:v>
                </c:pt>
                <c:pt idx="5">
                  <c:v>63</c:v>
                </c:pt>
                <c:pt idx="6">
                  <c:v>42</c:v>
                </c:pt>
              </c:numCache>
            </c:numRef>
          </c:xVal>
          <c:yVal>
            <c:numRef>
              <c:f>'12NietypZach'!$AA$7:$AG$7</c:f>
              <c:numCache>
                <c:formatCode>General</c:formatCode>
                <c:ptCount val="7"/>
                <c:pt idx="0">
                  <c:v>21</c:v>
                </c:pt>
                <c:pt idx="1">
                  <c:v>31.5</c:v>
                </c:pt>
                <c:pt idx="2">
                  <c:v>42</c:v>
                </c:pt>
                <c:pt idx="3">
                  <c:v>52.5</c:v>
                </c:pt>
                <c:pt idx="4">
                  <c:v>63</c:v>
                </c:pt>
                <c:pt idx="5">
                  <c:v>73.5</c:v>
                </c:pt>
                <c:pt idx="6">
                  <c:v>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C3D-4915-88DB-9A729A6F8E86}"/>
            </c:ext>
          </c:extLst>
        </c:ser>
        <c:ser>
          <c:idx val="1"/>
          <c:order val="1"/>
          <c:tx>
            <c:v>D2</c:v>
          </c:tx>
          <c:marker>
            <c:symbol val="none"/>
          </c:marker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D-4915-88DB-9A729A6F8E86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'12NietypZach'!$AA$11:$AG$11</c:f>
              <c:numCache>
                <c:formatCode>General</c:formatCode>
                <c:ptCount val="7"/>
                <c:pt idx="0">
                  <c:v>192</c:v>
                </c:pt>
                <c:pt idx="1">
                  <c:v>168</c:v>
                </c:pt>
                <c:pt idx="2">
                  <c:v>144</c:v>
                </c:pt>
                <c:pt idx="3">
                  <c:v>120</c:v>
                </c:pt>
                <c:pt idx="4">
                  <c:v>96</c:v>
                </c:pt>
                <c:pt idx="5">
                  <c:v>72</c:v>
                </c:pt>
                <c:pt idx="6">
                  <c:v>48</c:v>
                </c:pt>
              </c:numCache>
            </c:numRef>
          </c:xVal>
          <c:yVal>
            <c:numRef>
              <c:f>'12NietypZach'!$AA$10:$AG$10</c:f>
              <c:numCache>
                <c:formatCode>General</c:formatCode>
                <c:ptCount val="7"/>
                <c:pt idx="0">
                  <c:v>24</c:v>
                </c:pt>
                <c:pt idx="1">
                  <c:v>36</c:v>
                </c:pt>
                <c:pt idx="2">
                  <c:v>48</c:v>
                </c:pt>
                <c:pt idx="3">
                  <c:v>60</c:v>
                </c:pt>
                <c:pt idx="4">
                  <c:v>72</c:v>
                </c:pt>
                <c:pt idx="5">
                  <c:v>84</c:v>
                </c:pt>
                <c:pt idx="6">
                  <c:v>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C3D-4915-88DB-9A729A6F8E86}"/>
            </c:ext>
          </c:extLst>
        </c:ser>
        <c:ser>
          <c:idx val="2"/>
          <c:order val="2"/>
          <c:tx>
            <c:v>D3</c:v>
          </c:tx>
          <c:marker>
            <c:symbol val="none"/>
          </c:marker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D-4915-88DB-9A729A6F8E86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'12NietypZach'!$AA$14:$AG$14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'12NietypZach'!$AA$13:$AG$13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C3D-4915-88DB-9A729A6F8E86}"/>
            </c:ext>
          </c:extLst>
        </c:ser>
        <c:ser>
          <c:idx val="3"/>
          <c:order val="3"/>
          <c:tx>
            <c:v>E1</c:v>
          </c:tx>
          <c:spPr>
            <a:ln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'12NietypZach'!$C$12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'12NietypZach'!$C$11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C3D-4915-88DB-9A729A6F8E86}"/>
            </c:ext>
          </c:extLst>
        </c:ser>
        <c:ser>
          <c:idx val="4"/>
          <c:order val="4"/>
          <c:tx>
            <c:v>A</c:v>
          </c:tx>
          <c:spPr>
            <a:ln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'12NietypZach'!$E$12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'12NietypZach'!$E$11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C3D-4915-88DB-9A729A6F8E86}"/>
            </c:ext>
          </c:extLst>
        </c:ser>
        <c:ser>
          <c:idx val="5"/>
          <c:order val="5"/>
          <c:tx>
            <c:v>E2</c:v>
          </c:tx>
          <c:spPr>
            <a:ln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showSerNam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'12NietypZach'!$C$17</c:f>
              <c:numCache>
                <c:formatCode>General</c:formatCode>
                <c:ptCount val="1"/>
                <c:pt idx="0">
                  <c:v>150</c:v>
                </c:pt>
              </c:numCache>
            </c:numRef>
          </c:xVal>
          <c:yVal>
            <c:numRef>
              <c:f>'12NietypZach'!$C$16</c:f>
              <c:numCache>
                <c:formatCode>General</c:formatCode>
                <c:ptCount val="1"/>
                <c:pt idx="0">
                  <c:v>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4C3D-4915-88DB-9A729A6F8E86}"/>
            </c:ext>
          </c:extLst>
        </c:ser>
        <c:ser>
          <c:idx val="6"/>
          <c:order val="6"/>
          <c:tx>
            <c:v>DC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3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Ser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D-4915-88DB-9A729A6F8E86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'12NietypZach'!$Y$19:$AB$19</c:f>
              <c:numCache>
                <c:formatCode>General</c:formatCode>
                <c:ptCount val="4"/>
                <c:pt idx="0">
                  <c:v>72</c:v>
                </c:pt>
                <c:pt idx="1">
                  <c:v>80</c:v>
                </c:pt>
                <c:pt idx="2">
                  <c:v>150</c:v>
                </c:pt>
                <c:pt idx="3">
                  <c:v>165</c:v>
                </c:pt>
              </c:numCache>
            </c:numRef>
          </c:xVal>
          <c:yVal>
            <c:numRef>
              <c:f>'12NietypZach'!$Y$20:$AB$20</c:f>
              <c:numCache>
                <c:formatCode>General</c:formatCode>
                <c:ptCount val="4"/>
                <c:pt idx="0">
                  <c:v>67.285714285714292</c:v>
                </c:pt>
                <c:pt idx="1">
                  <c:v>65</c:v>
                </c:pt>
                <c:pt idx="2">
                  <c:v>45</c:v>
                </c:pt>
                <c:pt idx="3">
                  <c:v>40.714285714285722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4C3D-4915-88DB-9A729A6F8E86}"/>
            </c:ext>
          </c:extLst>
        </c:ser>
        <c:ser>
          <c:idx val="7"/>
          <c:order val="7"/>
          <c:tx>
            <c:v> 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'12NietypZach'!$Z$24:$AA$24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xVal>
          <c:yVal>
            <c:numRef>
              <c:f>'12NietypZach'!$Z$25:$AA$25</c:f>
              <c:numCache>
                <c:formatCode>General</c:formatCode>
                <c:ptCount val="2"/>
                <c:pt idx="0">
                  <c:v>65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4C3D-4915-88DB-9A729A6F8E86}"/>
            </c:ext>
          </c:extLst>
        </c:ser>
        <c:ser>
          <c:idx val="8"/>
          <c:order val="8"/>
          <c:tx>
            <c:v> 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'12NietypZach'!$AB$24:$AC$24</c:f>
              <c:numCache>
                <c:formatCode>General</c:formatCode>
                <c:ptCount val="2"/>
                <c:pt idx="0">
                  <c:v>80</c:v>
                </c:pt>
                <c:pt idx="1">
                  <c:v>0</c:v>
                </c:pt>
              </c:numCache>
            </c:numRef>
          </c:xVal>
          <c:yVal>
            <c:numRef>
              <c:f>'12NietypZach'!$AB$25:$AC$25</c:f>
              <c:numCache>
                <c:formatCode>General</c:formatCode>
                <c:ptCount val="2"/>
                <c:pt idx="0">
                  <c:v>65</c:v>
                </c:pt>
                <c:pt idx="1">
                  <c:v>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4C3D-4915-88DB-9A729A6F8E86}"/>
            </c:ext>
          </c:extLst>
        </c:ser>
        <c:ser>
          <c:idx val="9"/>
          <c:order val="9"/>
          <c:tx>
            <c:v>  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'12NietypZach'!$Z$29:$AA$29</c:f>
              <c:numCache>
                <c:formatCode>General</c:formatCode>
                <c:ptCount val="2"/>
                <c:pt idx="0">
                  <c:v>120</c:v>
                </c:pt>
                <c:pt idx="1">
                  <c:v>120</c:v>
                </c:pt>
              </c:numCache>
            </c:numRef>
          </c:xVal>
          <c:yVal>
            <c:numRef>
              <c:f>'12NietypZach'!$Z$30:$AA$30</c:f>
              <c:numCache>
                <c:formatCode>General</c:formatCode>
                <c:ptCount val="2"/>
                <c:pt idx="0">
                  <c:v>45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4C3D-4915-88DB-9A729A6F8E86}"/>
            </c:ext>
          </c:extLst>
        </c:ser>
        <c:ser>
          <c:idx val="10"/>
          <c:order val="10"/>
          <c:tx>
            <c:v>   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'12NietypZach'!$Z$34:$AA$34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'12NietypZach'!$Z$35:$AA$35</c:f>
              <c:numCache>
                <c:formatCode>General</c:formatCode>
                <c:ptCount val="2"/>
                <c:pt idx="0">
                  <c:v>45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4C3D-4915-88DB-9A729A6F8E86}"/>
            </c:ext>
          </c:extLst>
        </c:ser>
        <c:ser>
          <c:idx val="11"/>
          <c:order val="11"/>
          <c:tx>
            <c:v>   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'12NietypZach'!$AB$34:$AC$34</c:f>
              <c:numCache>
                <c:formatCode>General</c:formatCode>
                <c:ptCount val="2"/>
                <c:pt idx="0">
                  <c:v>150</c:v>
                </c:pt>
                <c:pt idx="1">
                  <c:v>0</c:v>
                </c:pt>
              </c:numCache>
            </c:numRef>
          </c:xVal>
          <c:yVal>
            <c:numRef>
              <c:f>'12NietypZach'!$AB$35:$AC$35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4C3D-4915-88DB-9A729A6F8E86}"/>
            </c:ext>
          </c:extLst>
        </c:ser>
        <c:ser>
          <c:idx val="12"/>
          <c:order val="12"/>
          <c:tx>
            <c:v>    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'12NietypZach'!$Y$43:$Z$43</c:f>
              <c:numCache>
                <c:formatCode>General</c:formatCode>
                <c:ptCount val="2"/>
                <c:pt idx="0">
                  <c:v>80</c:v>
                </c:pt>
                <c:pt idx="1">
                  <c:v>150</c:v>
                </c:pt>
              </c:numCache>
            </c:numRef>
          </c:xVal>
          <c:yVal>
            <c:numRef>
              <c:f>'12NietypZach'!$Y$44:$Z$44</c:f>
              <c:numCache>
                <c:formatCode>General</c:formatCode>
                <c:ptCount val="2"/>
                <c:pt idx="0">
                  <c:v>6.5</c:v>
                </c:pt>
                <c:pt idx="1">
                  <c:v>6.5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4C3D-4915-88DB-9A729A6F8E86}"/>
            </c:ext>
          </c:extLst>
        </c:ser>
        <c:ser>
          <c:idx val="13"/>
          <c:order val="13"/>
          <c:tx>
            <c:v>    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'12NietypZach'!$AA$43:$AB$43</c:f>
              <c:numCache>
                <c:formatCode>General</c:formatCode>
                <c:ptCount val="2"/>
                <c:pt idx="0">
                  <c:v>80</c:v>
                </c:pt>
                <c:pt idx="1">
                  <c:v>120</c:v>
                </c:pt>
              </c:numCache>
            </c:numRef>
          </c:xVal>
          <c:yVal>
            <c:numRef>
              <c:f>'12NietypZach'!$AA$44:$AB$44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4C3D-4915-88DB-9A729A6F8E86}"/>
            </c:ext>
          </c:extLst>
        </c:ser>
        <c:ser>
          <c:idx val="14"/>
          <c:order val="14"/>
          <c:tx>
            <c:v>    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'12NietypZach'!$AC$43:$AD$43</c:f>
              <c:numCache>
                <c:formatCode>General</c:formatCode>
                <c:ptCount val="2"/>
                <c:pt idx="0">
                  <c:v>120</c:v>
                </c:pt>
                <c:pt idx="1">
                  <c:v>150</c:v>
                </c:pt>
              </c:numCache>
            </c:numRef>
          </c:xVal>
          <c:yVal>
            <c:numRef>
              <c:f>'12NietypZach'!$AC$44:$AD$44</c:f>
              <c:numCache>
                <c:formatCode>General</c:formatCode>
                <c:ptCount val="2"/>
                <c:pt idx="0">
                  <c:v>9.75</c:v>
                </c:pt>
                <c:pt idx="1">
                  <c:v>9.75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4C3D-4915-88DB-9A729A6F8E86}"/>
            </c:ext>
          </c:extLst>
        </c:ser>
        <c:axId val="127026688"/>
        <c:axId val="127028224"/>
      </c:scatterChart>
      <c:valAx>
        <c:axId val="127026688"/>
        <c:scaling>
          <c:orientation val="minMax"/>
        </c:scaling>
        <c:axPos val="b"/>
        <c:numFmt formatCode="General" sourceLinked="1"/>
        <c:tickLblPos val="nextTo"/>
        <c:spPr>
          <a:ln w="9525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27028224"/>
        <c:crosses val="autoZero"/>
        <c:crossBetween val="midCat"/>
        <c:minorUnit val="3.2865000000000002"/>
      </c:valAx>
      <c:valAx>
        <c:axId val="127028224"/>
        <c:scaling>
          <c:orientation val="minMax"/>
        </c:scaling>
        <c:axPos val="l"/>
        <c:majorGridlines/>
        <c:numFmt formatCode="General" sourceLinked="1"/>
        <c:tickLblPos val="nextTo"/>
        <c:crossAx val="127026688"/>
        <c:crosses val="autoZero"/>
        <c:crossBetween val="midCat"/>
      </c:valAx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85185398773510113"/>
          <c:y val="0.23447112055778321"/>
          <c:w val="9.0725091288472434E-2"/>
          <c:h val="0.49305830636201226"/>
        </c:manualLayout>
      </c:layout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2.jpeg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2.jpeg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image" Target="../media/image2.jpeg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133350</xdr:rowOff>
    </xdr:from>
    <xdr:to>
      <xdr:col>6</xdr:col>
      <xdr:colOff>304800</xdr:colOff>
      <xdr:row>42</xdr:row>
      <xdr:rowOff>152400</xdr:rowOff>
    </xdr:to>
    <xdr:graphicFrame macro="">
      <xdr:nvGraphicFramePr>
        <xdr:cNvPr id="1103" name="Chart 1">
          <a:extLst>
            <a:ext uri="{FF2B5EF4-FFF2-40B4-BE49-F238E27FC236}">
              <a16:creationId xmlns:a16="http://schemas.microsoft.com/office/drawing/2014/main" xmlns="" id="{564F3807-276B-4DFC-9444-7D248AA5B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25</xdr:row>
      <xdr:rowOff>142875</xdr:rowOff>
    </xdr:from>
    <xdr:to>
      <xdr:col>13</xdr:col>
      <xdr:colOff>114300</xdr:colOff>
      <xdr:row>43</xdr:row>
      <xdr:rowOff>0</xdr:rowOff>
    </xdr:to>
    <xdr:graphicFrame macro="">
      <xdr:nvGraphicFramePr>
        <xdr:cNvPr id="1104" name="Chart 2">
          <a:extLst>
            <a:ext uri="{FF2B5EF4-FFF2-40B4-BE49-F238E27FC236}">
              <a16:creationId xmlns:a16="http://schemas.microsoft.com/office/drawing/2014/main" xmlns="" id="{F15052A6-5614-47A3-8673-DDD7B7E9A9AF}"/>
            </a:ext>
            <a:ext uri="{147F2762-F138-4A5C-976F-8EAC2B608ADB}">
              <a16:predDERef xmlns:a16="http://schemas.microsoft.com/office/drawing/2014/main" xmlns="" pred="{564F3807-276B-4DFC-9444-7D248AA5B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142875</xdr:colOff>
      <xdr:row>25</xdr:row>
      <xdr:rowOff>152400</xdr:rowOff>
    </xdr:from>
    <xdr:to>
      <xdr:col>19</xdr:col>
      <xdr:colOff>476250</xdr:colOff>
      <xdr:row>42</xdr:row>
      <xdr:rowOff>152400</xdr:rowOff>
    </xdr:to>
    <xdr:graphicFrame macro="">
      <xdr:nvGraphicFramePr>
        <xdr:cNvPr id="1105" name="Chart 3">
          <a:extLst>
            <a:ext uri="{FF2B5EF4-FFF2-40B4-BE49-F238E27FC236}">
              <a16:creationId xmlns:a16="http://schemas.microsoft.com/office/drawing/2014/main" xmlns="" id="{07BAA76B-6CA5-4D67-A2E8-08B3D132726C}"/>
            </a:ext>
            <a:ext uri="{147F2762-F138-4A5C-976F-8EAC2B608ADB}">
              <a16:predDERef xmlns:a16="http://schemas.microsoft.com/office/drawing/2014/main" xmlns="" pred="{F15052A6-5614-47A3-8673-DDD7B7E9A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295275</xdr:colOff>
      <xdr:row>13</xdr:row>
      <xdr:rowOff>57150</xdr:rowOff>
    </xdr:from>
    <xdr:to>
      <xdr:col>32</xdr:col>
      <xdr:colOff>590550</xdr:colOff>
      <xdr:row>33</xdr:row>
      <xdr:rowOff>76200</xdr:rowOff>
    </xdr:to>
    <xdr:graphicFrame macro="">
      <xdr:nvGraphicFramePr>
        <xdr:cNvPr id="1106" name="Chart 3">
          <a:extLst>
            <a:ext uri="{FF2B5EF4-FFF2-40B4-BE49-F238E27FC236}">
              <a16:creationId xmlns:a16="http://schemas.microsoft.com/office/drawing/2014/main" xmlns="" id="{00B8F6F7-DC4B-4874-B440-B62FF848FD42}"/>
            </a:ext>
            <a:ext uri="{147F2762-F138-4A5C-976F-8EAC2B608ADB}">
              <a16:predDERef xmlns:a16="http://schemas.microsoft.com/office/drawing/2014/main" xmlns="" pred="{07BAA76B-6CA5-4D67-A2E8-08B3D1327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15</xdr:row>
      <xdr:rowOff>85725</xdr:rowOff>
    </xdr:from>
    <xdr:to>
      <xdr:col>8</xdr:col>
      <xdr:colOff>104775</xdr:colOff>
      <xdr:row>32</xdr:row>
      <xdr:rowOff>38100</xdr:rowOff>
    </xdr:to>
    <xdr:graphicFrame macro="">
      <xdr:nvGraphicFramePr>
        <xdr:cNvPr id="197688" name="Wykres 2">
          <a:extLst>
            <a:ext uri="{FF2B5EF4-FFF2-40B4-BE49-F238E27FC236}">
              <a16:creationId xmlns:a16="http://schemas.microsoft.com/office/drawing/2014/main" xmlns="" id="{43719BBA-035D-4282-A932-0205344CA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523875</xdr:colOff>
      <xdr:row>29</xdr:row>
      <xdr:rowOff>133350</xdr:rowOff>
    </xdr:from>
    <xdr:to>
      <xdr:col>23</xdr:col>
      <xdr:colOff>123825</xdr:colOff>
      <xdr:row>61</xdr:row>
      <xdr:rowOff>66675</xdr:rowOff>
    </xdr:to>
    <xdr:graphicFrame macro="">
      <xdr:nvGraphicFramePr>
        <xdr:cNvPr id="197689" name="Wykres 2">
          <a:extLst>
            <a:ext uri="{FF2B5EF4-FFF2-40B4-BE49-F238E27FC236}">
              <a16:creationId xmlns:a16="http://schemas.microsoft.com/office/drawing/2014/main" xmlns="" id="{F5F98A3A-ACB2-46B9-873F-F4038D02D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581025</xdr:colOff>
      <xdr:row>19</xdr:row>
      <xdr:rowOff>104775</xdr:rowOff>
    </xdr:from>
    <xdr:to>
      <xdr:col>53</xdr:col>
      <xdr:colOff>314325</xdr:colOff>
      <xdr:row>36</xdr:row>
      <xdr:rowOff>95250</xdr:rowOff>
    </xdr:to>
    <xdr:graphicFrame macro="">
      <xdr:nvGraphicFramePr>
        <xdr:cNvPr id="197690" name="Wykres 2">
          <a:extLst>
            <a:ext uri="{FF2B5EF4-FFF2-40B4-BE49-F238E27FC236}">
              <a16:creationId xmlns:a16="http://schemas.microsoft.com/office/drawing/2014/main" xmlns="" id="{71B6DE2E-738A-424C-8568-B5FA31077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333375</xdr:colOff>
      <xdr:row>22</xdr:row>
      <xdr:rowOff>9525</xdr:rowOff>
    </xdr:from>
    <xdr:to>
      <xdr:col>22</xdr:col>
      <xdr:colOff>590550</xdr:colOff>
      <xdr:row>27</xdr:row>
      <xdr:rowOff>28575</xdr:rowOff>
    </xdr:to>
    <xdr:pic>
      <xdr:nvPicPr>
        <xdr:cNvPr id="197691" name="Obraz 6" descr="Symulacyjne new 2_1.jpg">
          <a:extLst>
            <a:ext uri="{FF2B5EF4-FFF2-40B4-BE49-F238E27FC236}">
              <a16:creationId xmlns:a16="http://schemas.microsoft.com/office/drawing/2014/main" xmlns="" id="{505F2D81-8DC9-4D94-8AE4-BB3B28124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7925" y="4619625"/>
          <a:ext cx="8667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17</xdr:row>
      <xdr:rowOff>123825</xdr:rowOff>
    </xdr:from>
    <xdr:to>
      <xdr:col>7</xdr:col>
      <xdr:colOff>600075</xdr:colOff>
      <xdr:row>34</xdr:row>
      <xdr:rowOff>114300</xdr:rowOff>
    </xdr:to>
    <xdr:graphicFrame macro="">
      <xdr:nvGraphicFramePr>
        <xdr:cNvPr id="198679" name="Wykres 2">
          <a:extLst>
            <a:ext uri="{FF2B5EF4-FFF2-40B4-BE49-F238E27FC236}">
              <a16:creationId xmlns:a16="http://schemas.microsoft.com/office/drawing/2014/main" xmlns="" id="{4E2305CA-4C8E-45B0-9AD2-CD6ECA061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379095</xdr:colOff>
      <xdr:row>14</xdr:row>
      <xdr:rowOff>146685</xdr:rowOff>
    </xdr:from>
    <xdr:to>
      <xdr:col>18</xdr:col>
      <xdr:colOff>26670</xdr:colOff>
      <xdr:row>19</xdr:row>
      <xdr:rowOff>165735</xdr:rowOff>
    </xdr:to>
    <xdr:pic>
      <xdr:nvPicPr>
        <xdr:cNvPr id="198680" name="Obraz 2" descr="Symulacyjne new 2_1.jpg">
          <a:extLst>
            <a:ext uri="{FF2B5EF4-FFF2-40B4-BE49-F238E27FC236}">
              <a16:creationId xmlns:a16="http://schemas.microsoft.com/office/drawing/2014/main" xmlns="" id="{B2029244-61B8-481B-9FBE-924FA71B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4215" y="268414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342900</xdr:colOff>
      <xdr:row>22</xdr:row>
      <xdr:rowOff>142875</xdr:rowOff>
    </xdr:from>
    <xdr:to>
      <xdr:col>27</xdr:col>
      <xdr:colOff>133350</xdr:colOff>
      <xdr:row>53</xdr:row>
      <xdr:rowOff>123825</xdr:rowOff>
    </xdr:to>
    <xdr:graphicFrame macro="">
      <xdr:nvGraphicFramePr>
        <xdr:cNvPr id="194835" name="Wykres 4">
          <a:extLst>
            <a:ext uri="{FF2B5EF4-FFF2-40B4-BE49-F238E27FC236}">
              <a16:creationId xmlns:a16="http://schemas.microsoft.com/office/drawing/2014/main" xmlns="" id="{37BAFCA8-0FAF-4393-9691-14064123B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24</xdr:row>
      <xdr:rowOff>9525</xdr:rowOff>
    </xdr:from>
    <xdr:to>
      <xdr:col>6</xdr:col>
      <xdr:colOff>876300</xdr:colOff>
      <xdr:row>49</xdr:row>
      <xdr:rowOff>161925</xdr:rowOff>
    </xdr:to>
    <xdr:graphicFrame macro="">
      <xdr:nvGraphicFramePr>
        <xdr:cNvPr id="194836" name="Wykres 3">
          <a:extLst>
            <a:ext uri="{FF2B5EF4-FFF2-40B4-BE49-F238E27FC236}">
              <a16:creationId xmlns:a16="http://schemas.microsoft.com/office/drawing/2014/main" xmlns="" id="{FEDE5438-C8E5-458E-98D0-6BE03965B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42</xdr:row>
      <xdr:rowOff>38100</xdr:rowOff>
    </xdr:from>
    <xdr:to>
      <xdr:col>17</xdr:col>
      <xdr:colOff>381000</xdr:colOff>
      <xdr:row>72</xdr:row>
      <xdr:rowOff>142875</xdr:rowOff>
    </xdr:to>
    <xdr:graphicFrame macro="">
      <xdr:nvGraphicFramePr>
        <xdr:cNvPr id="194837" name="Wykres 4">
          <a:extLst>
            <a:ext uri="{FF2B5EF4-FFF2-40B4-BE49-F238E27FC236}">
              <a16:creationId xmlns:a16="http://schemas.microsoft.com/office/drawing/2014/main" xmlns="" id="{7E9667A6-DA05-440D-B25A-C6849E032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28575</xdr:colOff>
      <xdr:row>23</xdr:row>
      <xdr:rowOff>57150</xdr:rowOff>
    </xdr:from>
    <xdr:to>
      <xdr:col>35</xdr:col>
      <xdr:colOff>133350</xdr:colOff>
      <xdr:row>54</xdr:row>
      <xdr:rowOff>85725</xdr:rowOff>
    </xdr:to>
    <xdr:graphicFrame macro="">
      <xdr:nvGraphicFramePr>
        <xdr:cNvPr id="194838" name="Wykres 4">
          <a:extLst>
            <a:ext uri="{FF2B5EF4-FFF2-40B4-BE49-F238E27FC236}">
              <a16:creationId xmlns:a16="http://schemas.microsoft.com/office/drawing/2014/main" xmlns="" id="{D6FFB3B8-5DFA-4D9F-A36B-5084AE36C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36</xdr:col>
      <xdr:colOff>317500</xdr:colOff>
      <xdr:row>25</xdr:row>
      <xdr:rowOff>76200</xdr:rowOff>
    </xdr:from>
    <xdr:to>
      <xdr:col>37</xdr:col>
      <xdr:colOff>574675</xdr:colOff>
      <xdr:row>30</xdr:row>
      <xdr:rowOff>69850</xdr:rowOff>
    </xdr:to>
    <xdr:pic>
      <xdr:nvPicPr>
        <xdr:cNvPr id="7" name="Obraz 2" descr="Symulacyjne new 2_1.jpg">
          <a:extLst>
            <a:ext uri="{FF2B5EF4-FFF2-40B4-BE49-F238E27FC236}">
              <a16:creationId xmlns:a16="http://schemas.microsoft.com/office/drawing/2014/main" xmlns="" id="{E1D9A4FE-99F3-49EE-A53C-4E4DBF44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0" y="5029200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5</xdr:row>
      <xdr:rowOff>0</xdr:rowOff>
    </xdr:from>
    <xdr:to>
      <xdr:col>28</xdr:col>
      <xdr:colOff>47625</xdr:colOff>
      <xdr:row>24</xdr:row>
      <xdr:rowOff>28575</xdr:rowOff>
    </xdr:to>
    <xdr:graphicFrame macro="">
      <xdr:nvGraphicFramePr>
        <xdr:cNvPr id="200774" name="Wykres 1">
          <a:extLst>
            <a:ext uri="{FF2B5EF4-FFF2-40B4-BE49-F238E27FC236}">
              <a16:creationId xmlns:a16="http://schemas.microsoft.com/office/drawing/2014/main" xmlns="" id="{1805B89D-5D9F-4B1C-93C5-CC057EBC4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257175</xdr:colOff>
      <xdr:row>24</xdr:row>
      <xdr:rowOff>161925</xdr:rowOff>
    </xdr:from>
    <xdr:to>
      <xdr:col>28</xdr:col>
      <xdr:colOff>38100</xdr:colOff>
      <xdr:row>43</xdr:row>
      <xdr:rowOff>85725</xdr:rowOff>
    </xdr:to>
    <xdr:graphicFrame macro="">
      <xdr:nvGraphicFramePr>
        <xdr:cNvPr id="200775" name="Wykres 2">
          <a:extLst>
            <a:ext uri="{FF2B5EF4-FFF2-40B4-BE49-F238E27FC236}">
              <a16:creationId xmlns:a16="http://schemas.microsoft.com/office/drawing/2014/main" xmlns="" id="{51AF2A63-1ACD-40D3-BBA9-D88BB9897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16</xdr:row>
      <xdr:rowOff>114300</xdr:rowOff>
    </xdr:from>
    <xdr:to>
      <xdr:col>7</xdr:col>
      <xdr:colOff>600075</xdr:colOff>
      <xdr:row>33</xdr:row>
      <xdr:rowOff>85725</xdr:rowOff>
    </xdr:to>
    <xdr:graphicFrame macro="">
      <xdr:nvGraphicFramePr>
        <xdr:cNvPr id="200776" name="Wykres 5">
          <a:extLst>
            <a:ext uri="{FF2B5EF4-FFF2-40B4-BE49-F238E27FC236}">
              <a16:creationId xmlns:a16="http://schemas.microsoft.com/office/drawing/2014/main" xmlns="" id="{C3EECC17-BA7C-49F7-AFA8-9F6803B55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33</xdr:row>
      <xdr:rowOff>76200</xdr:rowOff>
    </xdr:from>
    <xdr:to>
      <xdr:col>7</xdr:col>
      <xdr:colOff>600075</xdr:colOff>
      <xdr:row>50</xdr:row>
      <xdr:rowOff>66675</xdr:rowOff>
    </xdr:to>
    <xdr:graphicFrame macro="">
      <xdr:nvGraphicFramePr>
        <xdr:cNvPr id="200777" name="Wykres 6">
          <a:extLst>
            <a:ext uri="{FF2B5EF4-FFF2-40B4-BE49-F238E27FC236}">
              <a16:creationId xmlns:a16="http://schemas.microsoft.com/office/drawing/2014/main" xmlns="" id="{8E2C5ABA-9C21-4C43-8E5E-078FFC4C2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313266</xdr:colOff>
      <xdr:row>39</xdr:row>
      <xdr:rowOff>8467</xdr:rowOff>
    </xdr:from>
    <xdr:to>
      <xdr:col>10</xdr:col>
      <xdr:colOff>570441</xdr:colOff>
      <xdr:row>44</xdr:row>
      <xdr:rowOff>19050</xdr:rowOff>
    </xdr:to>
    <xdr:pic>
      <xdr:nvPicPr>
        <xdr:cNvPr id="6" name="Obraz 2" descr="Symulacyjne new 2_1.jpg">
          <a:extLst>
            <a:ext uri="{FF2B5EF4-FFF2-40B4-BE49-F238E27FC236}">
              <a16:creationId xmlns:a16="http://schemas.microsoft.com/office/drawing/2014/main" xmlns="" id="{358620A8-4038-42DE-AD91-FDEC8F950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666" y="7196667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98</xdr:row>
      <xdr:rowOff>85725</xdr:rowOff>
    </xdr:from>
    <xdr:to>
      <xdr:col>11</xdr:col>
      <xdr:colOff>238125</xdr:colOff>
      <xdr:row>115</xdr:row>
      <xdr:rowOff>85725</xdr:rowOff>
    </xdr:to>
    <xdr:graphicFrame macro="">
      <xdr:nvGraphicFramePr>
        <xdr:cNvPr id="201841" name="Wykres 1">
          <a:extLst>
            <a:ext uri="{FF2B5EF4-FFF2-40B4-BE49-F238E27FC236}">
              <a16:creationId xmlns:a16="http://schemas.microsoft.com/office/drawing/2014/main" xmlns="" id="{E3C00481-A8FA-42B5-BE48-D892BED59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</xdr:colOff>
      <xdr:row>17</xdr:row>
      <xdr:rowOff>9525</xdr:rowOff>
    </xdr:from>
    <xdr:to>
      <xdr:col>19</xdr:col>
      <xdr:colOff>571500</xdr:colOff>
      <xdr:row>34</xdr:row>
      <xdr:rowOff>38100</xdr:rowOff>
    </xdr:to>
    <xdr:graphicFrame macro="">
      <xdr:nvGraphicFramePr>
        <xdr:cNvPr id="201842" name="Wykres 4">
          <a:extLst>
            <a:ext uri="{FF2B5EF4-FFF2-40B4-BE49-F238E27FC236}">
              <a16:creationId xmlns:a16="http://schemas.microsoft.com/office/drawing/2014/main" xmlns="" id="{90A07583-B216-4C9B-9B84-60BB4EA20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352425</xdr:colOff>
      <xdr:row>52</xdr:row>
      <xdr:rowOff>28575</xdr:rowOff>
    </xdr:from>
    <xdr:to>
      <xdr:col>9</xdr:col>
      <xdr:colOff>66675</xdr:colOff>
      <xdr:row>69</xdr:row>
      <xdr:rowOff>38100</xdr:rowOff>
    </xdr:to>
    <xdr:graphicFrame macro="">
      <xdr:nvGraphicFramePr>
        <xdr:cNvPr id="201843" name="Wykres 6">
          <a:extLst>
            <a:ext uri="{FF2B5EF4-FFF2-40B4-BE49-F238E27FC236}">
              <a16:creationId xmlns:a16="http://schemas.microsoft.com/office/drawing/2014/main" xmlns="" id="{E9E51B52-CDFC-47DB-9A1A-3462EA8E7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400050</xdr:colOff>
      <xdr:row>52</xdr:row>
      <xdr:rowOff>9525</xdr:rowOff>
    </xdr:from>
    <xdr:to>
      <xdr:col>18</xdr:col>
      <xdr:colOff>104775</xdr:colOff>
      <xdr:row>69</xdr:row>
      <xdr:rowOff>28575</xdr:rowOff>
    </xdr:to>
    <xdr:graphicFrame macro="">
      <xdr:nvGraphicFramePr>
        <xdr:cNvPr id="201844" name="Wykres 7">
          <a:extLst>
            <a:ext uri="{FF2B5EF4-FFF2-40B4-BE49-F238E27FC236}">
              <a16:creationId xmlns:a16="http://schemas.microsoft.com/office/drawing/2014/main" xmlns="" id="{F60F4C6A-D687-43F3-831E-F89B27AF3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409575</xdr:colOff>
      <xdr:row>84</xdr:row>
      <xdr:rowOff>114300</xdr:rowOff>
    </xdr:from>
    <xdr:to>
      <xdr:col>21</xdr:col>
      <xdr:colOff>219075</xdr:colOff>
      <xdr:row>104</xdr:row>
      <xdr:rowOff>38100</xdr:rowOff>
    </xdr:to>
    <xdr:graphicFrame macro="">
      <xdr:nvGraphicFramePr>
        <xdr:cNvPr id="201845" name="Wykres 5">
          <a:extLst>
            <a:ext uri="{FF2B5EF4-FFF2-40B4-BE49-F238E27FC236}">
              <a16:creationId xmlns:a16="http://schemas.microsoft.com/office/drawing/2014/main" xmlns="" id="{5D74A218-9E46-4333-A630-FFB5984CE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419100</xdr:colOff>
      <xdr:row>104</xdr:row>
      <xdr:rowOff>66675</xdr:rowOff>
    </xdr:from>
    <xdr:to>
      <xdr:col>19</xdr:col>
      <xdr:colOff>571500</xdr:colOff>
      <xdr:row>121</xdr:row>
      <xdr:rowOff>114300</xdr:rowOff>
    </xdr:to>
    <xdr:graphicFrame macro="">
      <xdr:nvGraphicFramePr>
        <xdr:cNvPr id="201846" name="Wykres 2">
          <a:extLst>
            <a:ext uri="{FF2B5EF4-FFF2-40B4-BE49-F238E27FC236}">
              <a16:creationId xmlns:a16="http://schemas.microsoft.com/office/drawing/2014/main" xmlns="" id="{B536D2B6-283E-4B86-8DC0-0610666A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361950</xdr:colOff>
      <xdr:row>54</xdr:row>
      <xdr:rowOff>0</xdr:rowOff>
    </xdr:from>
    <xdr:to>
      <xdr:col>21</xdr:col>
      <xdr:colOff>9525</xdr:colOff>
      <xdr:row>59</xdr:row>
      <xdr:rowOff>0</xdr:rowOff>
    </xdr:to>
    <xdr:pic>
      <xdr:nvPicPr>
        <xdr:cNvPr id="9" name="Obraz 2" descr="Symulacyjne new 2_1.jpg">
          <a:extLst>
            <a:ext uri="{FF2B5EF4-FFF2-40B4-BE49-F238E27FC236}">
              <a16:creationId xmlns:a16="http://schemas.microsoft.com/office/drawing/2014/main" xmlns="" id="{EAE96E9F-F2CB-47B8-B4FE-695179D99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1225" y="10782300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13</xdr:row>
      <xdr:rowOff>136072</xdr:rowOff>
    </xdr:from>
    <xdr:to>
      <xdr:col>18</xdr:col>
      <xdr:colOff>190499</xdr:colOff>
      <xdr:row>41</xdr:row>
      <xdr:rowOff>68035</xdr:rowOff>
    </xdr:to>
    <xdr:graphicFrame macro="">
      <xdr:nvGraphicFramePr>
        <xdr:cNvPr id="202774" name="Wykres 2">
          <a:extLst>
            <a:ext uri="{FF2B5EF4-FFF2-40B4-BE49-F238E27FC236}">
              <a16:creationId xmlns:a16="http://schemas.microsoft.com/office/drawing/2014/main" xmlns="" id="{082ED295-1D01-4307-B7F7-65FFFD067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333375</xdr:colOff>
      <xdr:row>24</xdr:row>
      <xdr:rowOff>9525</xdr:rowOff>
    </xdr:from>
    <xdr:to>
      <xdr:col>26</xdr:col>
      <xdr:colOff>590550</xdr:colOff>
      <xdr:row>29</xdr:row>
      <xdr:rowOff>28575</xdr:rowOff>
    </xdr:to>
    <xdr:pic>
      <xdr:nvPicPr>
        <xdr:cNvPr id="202775" name="Obraz 2" descr="Symulacyjne new 2_1.jpg">
          <a:extLst>
            <a:ext uri="{FF2B5EF4-FFF2-40B4-BE49-F238E27FC236}">
              <a16:creationId xmlns:a16="http://schemas.microsoft.com/office/drawing/2014/main" xmlns="" id="{89CCCD13-1D6E-47EA-A841-193AF4CF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6300" y="4457700"/>
          <a:ext cx="866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133350</xdr:rowOff>
    </xdr:from>
    <xdr:to>
      <xdr:col>23</xdr:col>
      <xdr:colOff>228600</xdr:colOff>
      <xdr:row>41</xdr:row>
      <xdr:rowOff>95250</xdr:rowOff>
    </xdr:to>
    <xdr:graphicFrame macro="">
      <xdr:nvGraphicFramePr>
        <xdr:cNvPr id="204834" name="Wykres 2">
          <a:extLst>
            <a:ext uri="{FF2B5EF4-FFF2-40B4-BE49-F238E27FC236}">
              <a16:creationId xmlns:a16="http://schemas.microsoft.com/office/drawing/2014/main" xmlns="" id="{711E7D56-9505-4DB9-B7CA-D64169EA2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42</xdr:row>
      <xdr:rowOff>76200</xdr:rowOff>
    </xdr:from>
    <xdr:to>
      <xdr:col>18</xdr:col>
      <xdr:colOff>342900</xdr:colOff>
      <xdr:row>60</xdr:row>
      <xdr:rowOff>171450</xdr:rowOff>
    </xdr:to>
    <xdr:graphicFrame macro="">
      <xdr:nvGraphicFramePr>
        <xdr:cNvPr id="204835" name="Wykres 9">
          <a:extLst>
            <a:ext uri="{FF2B5EF4-FFF2-40B4-BE49-F238E27FC236}">
              <a16:creationId xmlns:a16="http://schemas.microsoft.com/office/drawing/2014/main" xmlns="" id="{A2AF3B5D-1ADA-4EEB-8528-113B47BD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4</xdr:row>
      <xdr:rowOff>95250</xdr:rowOff>
    </xdr:from>
    <xdr:to>
      <xdr:col>25</xdr:col>
      <xdr:colOff>219075</xdr:colOff>
      <xdr:row>38</xdr:row>
      <xdr:rowOff>85725</xdr:rowOff>
    </xdr:to>
    <xdr:graphicFrame macro="">
      <xdr:nvGraphicFramePr>
        <xdr:cNvPr id="203810" name="Wykres 2">
          <a:extLst>
            <a:ext uri="{FF2B5EF4-FFF2-40B4-BE49-F238E27FC236}">
              <a16:creationId xmlns:a16="http://schemas.microsoft.com/office/drawing/2014/main" xmlns="" id="{08A9EDB0-DAAE-4A5C-BF48-551B3230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39</xdr:row>
      <xdr:rowOff>47625</xdr:rowOff>
    </xdr:from>
    <xdr:to>
      <xdr:col>18</xdr:col>
      <xdr:colOff>333375</xdr:colOff>
      <xdr:row>58</xdr:row>
      <xdr:rowOff>28575</xdr:rowOff>
    </xdr:to>
    <xdr:graphicFrame macro="">
      <xdr:nvGraphicFramePr>
        <xdr:cNvPr id="203811" name="Wykres 9">
          <a:extLst>
            <a:ext uri="{FF2B5EF4-FFF2-40B4-BE49-F238E27FC236}">
              <a16:creationId xmlns:a16="http://schemas.microsoft.com/office/drawing/2014/main" xmlns="" id="{830CC609-305F-487B-925B-4636F487B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5</xdr:row>
      <xdr:rowOff>38100</xdr:rowOff>
    </xdr:from>
    <xdr:to>
      <xdr:col>21</xdr:col>
      <xdr:colOff>561975</xdr:colOff>
      <xdr:row>36</xdr:row>
      <xdr:rowOff>142875</xdr:rowOff>
    </xdr:to>
    <xdr:graphicFrame macro="">
      <xdr:nvGraphicFramePr>
        <xdr:cNvPr id="205875" name="Wykres 2">
          <a:extLst>
            <a:ext uri="{FF2B5EF4-FFF2-40B4-BE49-F238E27FC236}">
              <a16:creationId xmlns:a16="http://schemas.microsoft.com/office/drawing/2014/main" xmlns="" id="{5383E183-6950-4358-ADF7-3C35C959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44</xdr:row>
      <xdr:rowOff>57150</xdr:rowOff>
    </xdr:from>
    <xdr:to>
      <xdr:col>17</xdr:col>
      <xdr:colOff>57150</xdr:colOff>
      <xdr:row>57</xdr:row>
      <xdr:rowOff>152400</xdr:rowOff>
    </xdr:to>
    <xdr:graphicFrame macro="">
      <xdr:nvGraphicFramePr>
        <xdr:cNvPr id="205876" name="Wykres 9">
          <a:extLst>
            <a:ext uri="{FF2B5EF4-FFF2-40B4-BE49-F238E27FC236}">
              <a16:creationId xmlns:a16="http://schemas.microsoft.com/office/drawing/2014/main" xmlns="" id="{3A113D0A-7E98-42A6-AF1B-4A9B288A5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58</xdr:row>
      <xdr:rowOff>133350</xdr:rowOff>
    </xdr:from>
    <xdr:to>
      <xdr:col>17</xdr:col>
      <xdr:colOff>38100</xdr:colOff>
      <xdr:row>73</xdr:row>
      <xdr:rowOff>104775</xdr:rowOff>
    </xdr:to>
    <xdr:graphicFrame macro="">
      <xdr:nvGraphicFramePr>
        <xdr:cNvPr id="205877" name="Wykres 9">
          <a:extLst>
            <a:ext uri="{FF2B5EF4-FFF2-40B4-BE49-F238E27FC236}">
              <a16:creationId xmlns:a16="http://schemas.microsoft.com/office/drawing/2014/main" xmlns="" id="{70C9B9E4-85DA-4E59-B119-81E5097AF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123825</xdr:rowOff>
    </xdr:from>
    <xdr:to>
      <xdr:col>23</xdr:col>
      <xdr:colOff>295275</xdr:colOff>
      <xdr:row>31</xdr:row>
      <xdr:rowOff>142875</xdr:rowOff>
    </xdr:to>
    <xdr:graphicFrame macro="">
      <xdr:nvGraphicFramePr>
        <xdr:cNvPr id="206899" name="Wykres 2">
          <a:extLst>
            <a:ext uri="{FF2B5EF4-FFF2-40B4-BE49-F238E27FC236}">
              <a16:creationId xmlns:a16="http://schemas.microsoft.com/office/drawing/2014/main" xmlns="" id="{5A4B87AD-B8B1-4B22-BF4A-730AA908C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533400</xdr:colOff>
      <xdr:row>38</xdr:row>
      <xdr:rowOff>38100</xdr:rowOff>
    </xdr:from>
    <xdr:to>
      <xdr:col>16</xdr:col>
      <xdr:colOff>542925</xdr:colOff>
      <xdr:row>52</xdr:row>
      <xdr:rowOff>104775</xdr:rowOff>
    </xdr:to>
    <xdr:graphicFrame macro="">
      <xdr:nvGraphicFramePr>
        <xdr:cNvPr id="206900" name="Wykres 9">
          <a:extLst>
            <a:ext uri="{FF2B5EF4-FFF2-40B4-BE49-F238E27FC236}">
              <a16:creationId xmlns:a16="http://schemas.microsoft.com/office/drawing/2014/main" xmlns="" id="{4EEBC77E-5DA8-4844-8F77-C581348E9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523875</xdr:colOff>
      <xdr:row>53</xdr:row>
      <xdr:rowOff>85725</xdr:rowOff>
    </xdr:from>
    <xdr:to>
      <xdr:col>16</xdr:col>
      <xdr:colOff>533400</xdr:colOff>
      <xdr:row>68</xdr:row>
      <xdr:rowOff>104775</xdr:rowOff>
    </xdr:to>
    <xdr:graphicFrame macro="">
      <xdr:nvGraphicFramePr>
        <xdr:cNvPr id="206901" name="Wykres 9">
          <a:extLst>
            <a:ext uri="{FF2B5EF4-FFF2-40B4-BE49-F238E27FC236}">
              <a16:creationId xmlns:a16="http://schemas.microsoft.com/office/drawing/2014/main" xmlns="" id="{71F7323A-34FF-44E1-8B19-AC3CD986B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5</xdr:row>
      <xdr:rowOff>161925</xdr:rowOff>
    </xdr:from>
    <xdr:to>
      <xdr:col>16</xdr:col>
      <xdr:colOff>409575</xdr:colOff>
      <xdr:row>33</xdr:row>
      <xdr:rowOff>114300</xdr:rowOff>
    </xdr:to>
    <xdr:graphicFrame macro="">
      <xdr:nvGraphicFramePr>
        <xdr:cNvPr id="208913" name="Wykres 2">
          <a:extLst>
            <a:ext uri="{FF2B5EF4-FFF2-40B4-BE49-F238E27FC236}">
              <a16:creationId xmlns:a16="http://schemas.microsoft.com/office/drawing/2014/main" xmlns="" id="{51144FCF-F147-48FB-8201-30F704CFA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2"/>
  <sheetViews>
    <sheetView tabSelected="1" topLeftCell="A6" workbookViewId="0">
      <selection activeCell="S20" sqref="S20"/>
    </sheetView>
  </sheetViews>
  <sheetFormatPr defaultRowHeight="12.75"/>
  <cols>
    <col min="1" max="1" width="10.7109375" customWidth="1"/>
    <col min="5" max="5" width="9.5703125" customWidth="1"/>
    <col min="6" max="6" width="9.7109375" bestFit="1" customWidth="1"/>
    <col min="10" max="10" width="10.85546875" bestFit="1" customWidth="1"/>
    <col min="12" max="12" width="10.85546875" bestFit="1" customWidth="1"/>
    <col min="13" max="13" width="11.5703125" customWidth="1"/>
    <col min="14" max="14" width="11" customWidth="1"/>
    <col min="23" max="23" width="10.5703125" customWidth="1"/>
  </cols>
  <sheetData>
    <row r="1" spans="1:35" ht="15">
      <c r="A1" s="129"/>
      <c r="B1" s="129" t="s">
        <v>0</v>
      </c>
      <c r="C1" s="151"/>
      <c r="D1" s="151"/>
      <c r="E1" s="151"/>
      <c r="F1" s="151"/>
      <c r="G1" s="151"/>
      <c r="H1" s="151"/>
      <c r="I1" s="152"/>
      <c r="J1" s="103"/>
      <c r="K1" s="102" t="s">
        <v>1</v>
      </c>
      <c r="L1" s="102"/>
      <c r="M1" s="102"/>
      <c r="N1" s="103"/>
      <c r="O1" s="103"/>
      <c r="P1" s="103"/>
      <c r="Q1" s="103"/>
      <c r="R1" s="103"/>
      <c r="S1" s="103"/>
    </row>
    <row r="2" spans="1:35" ht="15.75">
      <c r="A2" s="153" t="s">
        <v>2</v>
      </c>
      <c r="B2" s="103"/>
      <c r="C2" s="151" t="s">
        <v>3</v>
      </c>
      <c r="D2" s="151"/>
      <c r="E2" s="151"/>
      <c r="F2" s="151"/>
      <c r="G2" s="151"/>
      <c r="H2" s="152"/>
      <c r="I2" s="152"/>
      <c r="J2" s="103"/>
      <c r="K2" s="102" t="s">
        <v>4</v>
      </c>
      <c r="L2" s="103"/>
      <c r="M2" s="103"/>
      <c r="N2" s="103"/>
      <c r="O2" s="103"/>
      <c r="P2" s="103"/>
      <c r="Q2" s="103"/>
      <c r="R2" s="103"/>
      <c r="S2" s="103"/>
    </row>
    <row r="3" spans="1:35">
      <c r="A3" s="103"/>
      <c r="B3" s="103"/>
      <c r="C3" s="103"/>
      <c r="D3" s="103"/>
      <c r="E3" s="103"/>
      <c r="F3" s="154" t="s">
        <v>5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49"/>
    </row>
    <row r="5" spans="1:35">
      <c r="A5" s="103"/>
      <c r="B5" s="129" t="s">
        <v>6</v>
      </c>
      <c r="C5" s="103"/>
      <c r="D5" s="103"/>
      <c r="E5" s="92" t="s">
        <v>7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S5" s="103"/>
      <c r="T5" s="129" t="s">
        <v>8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</row>
    <row r="6" spans="1:35">
      <c r="A6" s="103"/>
      <c r="B6" s="103"/>
      <c r="C6" s="129" t="s">
        <v>9</v>
      </c>
      <c r="D6" s="103"/>
      <c r="E6" s="103"/>
      <c r="F6" s="103"/>
      <c r="G6" s="103"/>
      <c r="H6" s="103"/>
      <c r="I6" s="103"/>
      <c r="J6" s="103"/>
      <c r="K6" s="129" t="s">
        <v>10</v>
      </c>
      <c r="L6" s="103"/>
      <c r="M6" s="103"/>
      <c r="N6" s="92" t="s">
        <v>7</v>
      </c>
      <c r="O6" s="103"/>
      <c r="P6" s="103"/>
      <c r="Q6" s="103"/>
      <c r="S6" s="103"/>
      <c r="T6" s="103"/>
      <c r="U6" s="129" t="s">
        <v>11</v>
      </c>
      <c r="V6" s="103"/>
      <c r="W6" s="103"/>
      <c r="X6" s="92" t="s">
        <v>12</v>
      </c>
      <c r="Y6" s="103"/>
      <c r="Z6" s="103"/>
      <c r="AA6" s="103"/>
      <c r="AB6" s="103"/>
      <c r="AC6" s="129" t="s">
        <v>10</v>
      </c>
      <c r="AD6" s="103"/>
      <c r="AE6" s="103"/>
      <c r="AF6" s="103"/>
      <c r="AG6" s="103"/>
      <c r="AH6" s="103"/>
      <c r="AI6" s="103"/>
    </row>
    <row r="7" spans="1:35">
      <c r="A7" s="103"/>
      <c r="B7" s="103"/>
      <c r="C7" s="103"/>
      <c r="D7" s="103">
        <v>1</v>
      </c>
      <c r="E7" s="103">
        <v>2</v>
      </c>
      <c r="F7" s="103">
        <v>3</v>
      </c>
      <c r="G7" s="103">
        <v>4</v>
      </c>
      <c r="H7" s="103">
        <v>5</v>
      </c>
      <c r="I7" s="103"/>
      <c r="J7" s="103"/>
      <c r="K7" s="103"/>
      <c r="L7" s="103">
        <v>1</v>
      </c>
      <c r="M7" s="103">
        <v>2</v>
      </c>
      <c r="N7" s="103">
        <v>3</v>
      </c>
      <c r="O7" s="103">
        <v>4</v>
      </c>
      <c r="P7" s="103">
        <v>5</v>
      </c>
      <c r="Q7" s="103"/>
      <c r="S7" s="103"/>
      <c r="T7" s="103"/>
      <c r="U7" s="103"/>
      <c r="V7" s="103">
        <v>1</v>
      </c>
      <c r="W7" s="103">
        <v>2</v>
      </c>
      <c r="X7" s="103">
        <v>3</v>
      </c>
      <c r="Y7" s="103">
        <v>4</v>
      </c>
      <c r="Z7" s="103">
        <v>5</v>
      </c>
      <c r="AA7" s="103"/>
      <c r="AB7" s="103"/>
      <c r="AC7" s="103"/>
      <c r="AD7" s="103">
        <v>1</v>
      </c>
      <c r="AE7" s="103">
        <v>2</v>
      </c>
      <c r="AF7" s="103">
        <v>3</v>
      </c>
      <c r="AG7" s="103">
        <v>4</v>
      </c>
      <c r="AH7" s="103">
        <v>5</v>
      </c>
      <c r="AI7" s="103"/>
    </row>
    <row r="8" spans="1:35" ht="15.75">
      <c r="A8" s="103"/>
      <c r="B8" s="201" t="s">
        <v>13</v>
      </c>
      <c r="C8" s="319" t="s">
        <v>14</v>
      </c>
      <c r="D8" s="316">
        <v>1</v>
      </c>
      <c r="E8" s="316">
        <v>2</v>
      </c>
      <c r="F8" s="316">
        <v>2.5</v>
      </c>
      <c r="G8" s="316">
        <v>3</v>
      </c>
      <c r="H8" s="317">
        <v>3.5</v>
      </c>
      <c r="I8" s="103"/>
      <c r="J8" s="104" t="s">
        <v>13</v>
      </c>
      <c r="K8" s="319" t="s">
        <v>14</v>
      </c>
      <c r="L8" s="316">
        <v>1</v>
      </c>
      <c r="M8" s="316">
        <v>2</v>
      </c>
      <c r="N8" s="316">
        <v>2.5</v>
      </c>
      <c r="O8" s="316">
        <v>3</v>
      </c>
      <c r="P8" s="317">
        <v>3.5</v>
      </c>
      <c r="Q8" s="103"/>
      <c r="S8" s="103"/>
      <c r="T8" s="201" t="s">
        <v>13</v>
      </c>
      <c r="U8" s="319" t="s">
        <v>14</v>
      </c>
      <c r="V8" s="321">
        <v>100</v>
      </c>
      <c r="W8" s="321">
        <v>80</v>
      </c>
      <c r="X8" s="321">
        <v>50</v>
      </c>
      <c r="Y8" s="321">
        <v>40</v>
      </c>
      <c r="Z8" s="322">
        <v>30</v>
      </c>
      <c r="AA8" s="103"/>
      <c r="AB8" s="104" t="s">
        <v>13</v>
      </c>
      <c r="AC8" s="319" t="s">
        <v>14</v>
      </c>
      <c r="AD8" s="321">
        <v>100</v>
      </c>
      <c r="AE8" s="321">
        <v>80</v>
      </c>
      <c r="AF8" s="321">
        <v>60</v>
      </c>
      <c r="AG8" s="321">
        <v>40</v>
      </c>
      <c r="AH8" s="322">
        <v>50</v>
      </c>
      <c r="AI8" s="103"/>
    </row>
    <row r="9" spans="1:35" ht="15.75">
      <c r="A9" s="103"/>
      <c r="B9" s="165"/>
      <c r="C9" s="320" t="s">
        <v>15</v>
      </c>
      <c r="D9" s="258">
        <v>1</v>
      </c>
      <c r="E9" s="258">
        <v>2</v>
      </c>
      <c r="F9" s="258">
        <v>2.5</v>
      </c>
      <c r="G9" s="258">
        <v>3</v>
      </c>
      <c r="H9" s="318">
        <v>3.5</v>
      </c>
      <c r="I9" s="103"/>
      <c r="J9" s="165"/>
      <c r="K9" s="320" t="s">
        <v>15</v>
      </c>
      <c r="L9" s="258">
        <v>1</v>
      </c>
      <c r="M9" s="258">
        <v>2</v>
      </c>
      <c r="N9" s="258">
        <v>2.5</v>
      </c>
      <c r="O9" s="258">
        <v>3</v>
      </c>
      <c r="P9" s="318">
        <v>3.5</v>
      </c>
      <c r="Q9" s="103"/>
      <c r="S9" s="103"/>
      <c r="T9" s="165"/>
      <c r="U9" s="320" t="s">
        <v>15</v>
      </c>
      <c r="V9" s="189">
        <v>80</v>
      </c>
      <c r="W9" s="189">
        <v>60</v>
      </c>
      <c r="X9" s="189">
        <v>30</v>
      </c>
      <c r="Y9" s="189">
        <v>20</v>
      </c>
      <c r="Z9" s="323">
        <v>0</v>
      </c>
      <c r="AA9" s="103"/>
      <c r="AB9" s="165"/>
      <c r="AC9" s="320" t="s">
        <v>15</v>
      </c>
      <c r="AD9" s="189">
        <v>80</v>
      </c>
      <c r="AE9" s="189">
        <v>60</v>
      </c>
      <c r="AF9" s="189">
        <v>40</v>
      </c>
      <c r="AG9" s="189">
        <v>20</v>
      </c>
      <c r="AH9" s="323">
        <v>0</v>
      </c>
      <c r="AI9" s="103"/>
    </row>
    <row r="10" spans="1:35" ht="15.75">
      <c r="A10" s="103" t="s">
        <v>16</v>
      </c>
      <c r="B10" s="201" t="s">
        <v>17</v>
      </c>
      <c r="C10" s="319" t="s">
        <v>14</v>
      </c>
      <c r="D10" s="316">
        <v>4</v>
      </c>
      <c r="E10" s="316">
        <v>3.5</v>
      </c>
      <c r="F10" s="316">
        <v>3</v>
      </c>
      <c r="G10" s="316">
        <v>2</v>
      </c>
      <c r="H10" s="317">
        <v>1</v>
      </c>
      <c r="I10" s="103" t="s">
        <v>373</v>
      </c>
      <c r="J10" s="201" t="s">
        <v>18</v>
      </c>
      <c r="K10" s="319" t="s">
        <v>14</v>
      </c>
      <c r="L10" s="316">
        <v>1</v>
      </c>
      <c r="M10" s="316">
        <v>2</v>
      </c>
      <c r="N10" s="316">
        <v>2.5</v>
      </c>
      <c r="O10" s="316">
        <v>3</v>
      </c>
      <c r="P10" s="317">
        <v>4</v>
      </c>
      <c r="Q10" s="103"/>
      <c r="S10" s="103" t="s">
        <v>373</v>
      </c>
      <c r="T10" s="201" t="s">
        <v>17</v>
      </c>
      <c r="U10" s="319" t="s">
        <v>14</v>
      </c>
      <c r="V10" s="321">
        <v>5</v>
      </c>
      <c r="W10" s="321">
        <v>6</v>
      </c>
      <c r="X10" s="321">
        <v>7</v>
      </c>
      <c r="Y10" s="321">
        <v>8</v>
      </c>
      <c r="Z10" s="322">
        <v>9</v>
      </c>
      <c r="AA10" s="103" t="s">
        <v>373</v>
      </c>
      <c r="AB10" s="201" t="s">
        <v>19</v>
      </c>
      <c r="AC10" s="319" t="s">
        <v>14</v>
      </c>
      <c r="AD10" s="321">
        <v>8</v>
      </c>
      <c r="AE10" s="321">
        <v>6</v>
      </c>
      <c r="AF10" s="321">
        <v>4</v>
      </c>
      <c r="AG10" s="321">
        <v>2</v>
      </c>
      <c r="AH10" s="322">
        <v>0</v>
      </c>
      <c r="AI10" s="103"/>
    </row>
    <row r="11" spans="1:35" ht="15.75">
      <c r="A11" s="103"/>
      <c r="B11" s="165"/>
      <c r="C11" s="320" t="s">
        <v>15</v>
      </c>
      <c r="D11" s="258">
        <v>4</v>
      </c>
      <c r="E11" s="258">
        <v>3.5</v>
      </c>
      <c r="F11" s="258">
        <v>3</v>
      </c>
      <c r="G11" s="258">
        <v>2</v>
      </c>
      <c r="H11" s="318">
        <v>1</v>
      </c>
      <c r="I11" s="103"/>
      <c r="J11" s="165"/>
      <c r="K11" s="320" t="s">
        <v>15</v>
      </c>
      <c r="L11" s="258">
        <v>1</v>
      </c>
      <c r="M11" s="258">
        <v>2</v>
      </c>
      <c r="N11" s="258">
        <v>2.5</v>
      </c>
      <c r="O11" s="258">
        <v>3</v>
      </c>
      <c r="P11" s="318">
        <v>4</v>
      </c>
      <c r="Q11" s="103"/>
      <c r="S11" s="103"/>
      <c r="T11" s="165"/>
      <c r="U11" s="320" t="s">
        <v>15</v>
      </c>
      <c r="V11" s="189">
        <v>5</v>
      </c>
      <c r="W11" s="189">
        <v>6</v>
      </c>
      <c r="X11" s="189">
        <v>7</v>
      </c>
      <c r="Y11" s="189">
        <v>8</v>
      </c>
      <c r="Z11" s="323">
        <v>9</v>
      </c>
      <c r="AA11" s="103"/>
      <c r="AB11" s="165"/>
      <c r="AC11" s="320" t="s">
        <v>15</v>
      </c>
      <c r="AD11" s="189">
        <v>8</v>
      </c>
      <c r="AE11" s="189">
        <v>6</v>
      </c>
      <c r="AF11" s="189">
        <v>4</v>
      </c>
      <c r="AG11" s="189">
        <v>2</v>
      </c>
      <c r="AH11" s="323">
        <v>-2</v>
      </c>
      <c r="AI11" s="103"/>
    </row>
    <row r="12" spans="1:3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</row>
    <row r="13" spans="1:3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5" ht="15.75">
      <c r="A14" s="92" t="s">
        <v>7</v>
      </c>
      <c r="B14" s="130" t="s">
        <v>20</v>
      </c>
      <c r="C14" s="130" t="s">
        <v>21</v>
      </c>
      <c r="D14" s="131">
        <f>INDEX(LINEST(D10:H10,D8:H8),2)</f>
        <v>5.5540540540540544</v>
      </c>
      <c r="E14" s="131" t="s">
        <v>22</v>
      </c>
      <c r="F14" s="131">
        <f>INDEX(LINEST(D10:H10,D8:H8),1)</f>
        <v>-1.189189189189189</v>
      </c>
      <c r="G14" s="102" t="s">
        <v>23</v>
      </c>
      <c r="H14" s="103"/>
      <c r="I14" s="103"/>
      <c r="J14" s="132" t="s">
        <v>24</v>
      </c>
      <c r="K14" s="130" t="s">
        <v>25</v>
      </c>
      <c r="L14" s="131">
        <f>INDEX(LINEST(L10:P10,L8:P8),2)</f>
        <v>-0.25675675675675658</v>
      </c>
      <c r="M14" s="131" t="s">
        <v>22</v>
      </c>
      <c r="N14" s="131">
        <f>INDEX(LINEST(L10:P10,L8:P8),1)</f>
        <v>1.1486486486486487</v>
      </c>
      <c r="O14" s="102" t="s">
        <v>23</v>
      </c>
      <c r="P14" s="103"/>
      <c r="Q14" s="103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5">
      <c r="A15" s="103"/>
      <c r="B15" s="82"/>
      <c r="C15" s="82"/>
      <c r="D15" s="131"/>
      <c r="E15" s="131"/>
      <c r="F15" s="131"/>
      <c r="G15" s="103"/>
      <c r="H15" s="103"/>
      <c r="I15" s="103"/>
      <c r="J15" s="121"/>
      <c r="K15" s="82"/>
      <c r="L15" s="131"/>
      <c r="M15" s="131"/>
      <c r="N15" s="131"/>
      <c r="O15" s="103"/>
      <c r="P15" s="103"/>
      <c r="Q15" s="103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5" ht="15.75">
      <c r="A16" s="103"/>
      <c r="B16" s="130" t="s">
        <v>26</v>
      </c>
      <c r="C16" s="130" t="s">
        <v>27</v>
      </c>
      <c r="D16" s="131">
        <f>INDEX(LINEST(D11:H11,D9:H9),2)</f>
        <v>5.5540540540540544</v>
      </c>
      <c r="E16" s="131" t="s">
        <v>22</v>
      </c>
      <c r="F16" s="131">
        <f>INDEX(LINEST(D11:H11,D9:H9),1)</f>
        <v>-1.189189189189189</v>
      </c>
      <c r="G16" s="102" t="s">
        <v>23</v>
      </c>
      <c r="H16" s="103"/>
      <c r="I16" s="103"/>
      <c r="J16" s="132" t="s">
        <v>28</v>
      </c>
      <c r="K16" s="130" t="s">
        <v>29</v>
      </c>
      <c r="L16" s="131">
        <f>INDEX(LINEST(L11:P11,L9:P9),2)</f>
        <v>-0.25675675675675658</v>
      </c>
      <c r="M16" s="131" t="s">
        <v>22</v>
      </c>
      <c r="N16" s="131">
        <f>INDEX(LINEST(L11:P11,L9:P9),1)</f>
        <v>1.1486486486486487</v>
      </c>
      <c r="O16" s="102" t="s">
        <v>23</v>
      </c>
      <c r="P16" s="103"/>
      <c r="Q16" s="430" t="s">
        <v>518</v>
      </c>
      <c r="R16" s="103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4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431" t="s">
        <v>510</v>
      </c>
      <c r="R17" s="432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1:34">
      <c r="A18" s="103"/>
      <c r="B18" s="103"/>
      <c r="C18" s="103"/>
      <c r="D18" s="103"/>
      <c r="E18" s="103"/>
      <c r="F18" s="103"/>
      <c r="G18" s="103"/>
      <c r="H18" s="103"/>
      <c r="I18" s="423" t="s">
        <v>30</v>
      </c>
      <c r="J18" s="423"/>
      <c r="K18" s="423"/>
      <c r="L18" s="423"/>
      <c r="M18" s="103"/>
      <c r="N18" s="103"/>
      <c r="O18" s="103"/>
      <c r="P18" s="103"/>
      <c r="Q18" s="431" t="s">
        <v>511</v>
      </c>
      <c r="R18" s="432"/>
      <c r="S18" s="24"/>
      <c r="T18" s="24"/>
      <c r="U18" s="24"/>
      <c r="V18" s="24"/>
      <c r="W18" s="24"/>
      <c r="X18" s="24"/>
      <c r="Y18" s="24"/>
      <c r="Z18" s="24"/>
      <c r="AA18" s="76"/>
      <c r="AB18" s="24"/>
      <c r="AC18" s="24"/>
      <c r="AD18" s="24"/>
      <c r="AE18" s="24"/>
      <c r="AF18" s="24"/>
      <c r="AG18" s="24"/>
      <c r="AH18" s="24"/>
    </row>
    <row r="19" spans="1:34">
      <c r="A19" s="103"/>
      <c r="B19" s="103"/>
      <c r="C19" s="103"/>
      <c r="D19" s="103"/>
      <c r="E19" s="103"/>
      <c r="F19" s="103"/>
      <c r="G19" s="103"/>
      <c r="H19" s="103"/>
      <c r="I19" s="426" t="s">
        <v>31</v>
      </c>
      <c r="J19" s="426"/>
      <c r="K19" s="426" t="s">
        <v>32</v>
      </c>
      <c r="L19" s="426"/>
      <c r="M19" s="103"/>
      <c r="N19" s="103"/>
      <c r="O19" s="103"/>
      <c r="P19" s="103"/>
      <c r="Q19" s="431" t="s">
        <v>512</v>
      </c>
      <c r="R19" s="432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4" ht="13.5" thickBot="1">
      <c r="A20" s="103"/>
      <c r="B20" s="103"/>
      <c r="C20" s="103"/>
      <c r="D20" s="103"/>
      <c r="E20" s="103"/>
      <c r="F20" s="103"/>
      <c r="G20" s="103"/>
      <c r="H20" s="103"/>
      <c r="I20" s="427"/>
      <c r="J20" s="427"/>
      <c r="K20" s="427"/>
      <c r="L20" s="427"/>
      <c r="M20" s="103"/>
      <c r="N20" s="103"/>
      <c r="O20" s="103"/>
      <c r="P20" s="103"/>
      <c r="Q20" s="431" t="s">
        <v>513</v>
      </c>
      <c r="R20" s="4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4" ht="21" customHeight="1">
      <c r="A21" s="328" t="s">
        <v>33</v>
      </c>
      <c r="B21" s="328"/>
      <c r="C21" s="328"/>
      <c r="D21" s="328"/>
      <c r="E21" s="329"/>
      <c r="F21" s="329"/>
      <c r="G21" s="424" t="s">
        <v>18</v>
      </c>
      <c r="H21" s="425" t="s">
        <v>34</v>
      </c>
      <c r="I21" s="133" t="s">
        <v>35</v>
      </c>
      <c r="J21" s="134">
        <f>(D14-L14)/(N14-F14)</f>
        <v>2.4855491329479769</v>
      </c>
      <c r="K21" s="135" t="s">
        <v>35</v>
      </c>
      <c r="L21" s="136">
        <f>(D16-L14)/(N14-F16)</f>
        <v>2.4855491329479769</v>
      </c>
      <c r="M21" s="94" t="s">
        <v>12</v>
      </c>
      <c r="N21" s="103"/>
      <c r="O21" s="103"/>
      <c r="P21" s="103"/>
      <c r="Q21" s="431" t="s">
        <v>514</v>
      </c>
      <c r="R21" s="432"/>
      <c r="S21" s="326"/>
      <c r="T21" s="326"/>
      <c r="U21" s="325"/>
      <c r="V21" s="24"/>
      <c r="W21" s="24"/>
      <c r="X21" s="76"/>
      <c r="Y21" s="24"/>
      <c r="Z21" s="33"/>
      <c r="AA21" s="78"/>
      <c r="AB21" s="33"/>
      <c r="AC21" s="78"/>
      <c r="AD21" s="24"/>
      <c r="AE21" s="24"/>
      <c r="AF21" s="24"/>
      <c r="AG21" s="24"/>
      <c r="AH21" s="24"/>
    </row>
    <row r="22" spans="1:34" ht="21" customHeight="1">
      <c r="A22" s="328" t="s">
        <v>36</v>
      </c>
      <c r="B22" s="328"/>
      <c r="C22" s="328"/>
      <c r="D22" s="328"/>
      <c r="E22" s="329"/>
      <c r="F22" s="329"/>
      <c r="G22" s="424"/>
      <c r="H22" s="425"/>
      <c r="I22" s="137" t="s">
        <v>37</v>
      </c>
      <c r="J22" s="138">
        <f>(N14*D14-F14*L14)/(N14-F14)</f>
        <v>2.5982658959537579</v>
      </c>
      <c r="K22" s="139" t="s">
        <v>37</v>
      </c>
      <c r="L22" s="140">
        <f>(N14*D16-F16*L14)/(N14-F16)</f>
        <v>2.5982658959537579</v>
      </c>
      <c r="M22" s="103"/>
      <c r="N22" s="103"/>
      <c r="O22" s="103"/>
      <c r="P22" s="103"/>
      <c r="Q22" s="431" t="s">
        <v>515</v>
      </c>
      <c r="R22" s="431"/>
      <c r="S22" s="326"/>
      <c r="T22" s="326"/>
      <c r="U22" s="325"/>
      <c r="V22" s="24"/>
      <c r="W22" s="24"/>
      <c r="X22" s="24"/>
      <c r="Y22" s="24"/>
      <c r="Z22" s="33"/>
      <c r="AA22" s="78"/>
      <c r="AB22" s="33"/>
      <c r="AC22" s="78"/>
      <c r="AD22" s="24"/>
      <c r="AE22" s="24"/>
      <c r="AF22" s="24"/>
      <c r="AG22" s="24"/>
      <c r="AH22" s="24"/>
    </row>
    <row r="23" spans="1:34" ht="21" customHeight="1">
      <c r="A23" s="328" t="s">
        <v>38</v>
      </c>
      <c r="B23" s="328"/>
      <c r="C23" s="328"/>
      <c r="D23" s="328"/>
      <c r="E23" s="329"/>
      <c r="F23" s="329"/>
      <c r="G23" s="424"/>
      <c r="H23" s="425" t="s">
        <v>39</v>
      </c>
      <c r="I23" s="141" t="s">
        <v>35</v>
      </c>
      <c r="J23" s="142">
        <f>(D16-L16)/(N16-F16)</f>
        <v>2.4855491329479769</v>
      </c>
      <c r="K23" s="143" t="s">
        <v>35</v>
      </c>
      <c r="L23" s="144">
        <f>(D16-L16)/(N16-F16)</f>
        <v>2.4855491329479769</v>
      </c>
      <c r="M23" s="103"/>
      <c r="N23" s="103"/>
      <c r="O23" s="103"/>
      <c r="P23" s="103"/>
      <c r="Q23" s="431" t="s">
        <v>516</v>
      </c>
      <c r="R23" s="431"/>
      <c r="S23" s="326"/>
      <c r="T23" s="326"/>
      <c r="U23" s="325"/>
      <c r="V23" s="24"/>
      <c r="W23" s="24"/>
      <c r="X23" s="24"/>
      <c r="Y23" s="24"/>
      <c r="Z23" s="33"/>
      <c r="AA23" s="78"/>
      <c r="AB23" s="33"/>
      <c r="AC23" s="24"/>
      <c r="AD23" s="24"/>
      <c r="AE23" s="24"/>
      <c r="AF23" s="24"/>
      <c r="AG23" s="24"/>
      <c r="AH23" s="24"/>
    </row>
    <row r="24" spans="1:34" ht="21" customHeight="1" thickBot="1">
      <c r="A24" s="328" t="s">
        <v>40</v>
      </c>
      <c r="B24" s="328"/>
      <c r="C24" s="328"/>
      <c r="D24" s="328"/>
      <c r="E24" s="329"/>
      <c r="F24" s="329"/>
      <c r="G24" s="424"/>
      <c r="H24" s="425"/>
      <c r="I24" s="145" t="s">
        <v>37</v>
      </c>
      <c r="J24" s="146">
        <f>(N16*D16-F16*L16)/(N16-F16)</f>
        <v>2.5982658959537579</v>
      </c>
      <c r="K24" s="147" t="s">
        <v>37</v>
      </c>
      <c r="L24" s="148">
        <f>(N16*D16-F16*L16)/(N16-F16)</f>
        <v>2.5982658959537579</v>
      </c>
      <c r="M24" s="103"/>
      <c r="N24" s="103"/>
      <c r="O24" s="92" t="s">
        <v>12</v>
      </c>
      <c r="P24" s="103"/>
      <c r="Q24" s="431" t="s">
        <v>517</v>
      </c>
      <c r="R24" s="431"/>
      <c r="S24" s="326"/>
      <c r="T24" s="326"/>
      <c r="U24" s="325"/>
      <c r="V24" s="24"/>
      <c r="W24" s="24"/>
      <c r="X24" s="24"/>
      <c r="Y24" s="24"/>
      <c r="Z24" s="33"/>
      <c r="AA24" s="78"/>
      <c r="AB24" s="33"/>
      <c r="AC24" s="78"/>
      <c r="AD24" s="24"/>
      <c r="AE24" s="24"/>
      <c r="AF24" s="24"/>
      <c r="AG24" s="24"/>
      <c r="AH24" s="24"/>
    </row>
    <row r="25" spans="1:34">
      <c r="K25" s="149"/>
      <c r="L25" s="149"/>
      <c r="M25" s="149"/>
      <c r="N25" s="149"/>
      <c r="O25" s="149"/>
      <c r="P25" s="149"/>
      <c r="S25" s="326"/>
      <c r="T25" s="326"/>
      <c r="U25" s="325"/>
      <c r="V25" s="24"/>
      <c r="W25" s="24"/>
      <c r="X25" s="24"/>
      <c r="Y25" s="24"/>
      <c r="Z25" s="33"/>
      <c r="AA25" s="78"/>
      <c r="AB25" s="33"/>
      <c r="AC25" s="78"/>
      <c r="AD25" s="24"/>
      <c r="AE25" s="24"/>
      <c r="AF25" s="24"/>
      <c r="AG25" s="24"/>
      <c r="AH25" s="24"/>
    </row>
    <row r="26" spans="1:34">
      <c r="S26" s="429"/>
    </row>
    <row r="27" spans="1:34">
      <c r="D27" s="1"/>
      <c r="E27" s="1"/>
    </row>
    <row r="31" spans="1:34">
      <c r="M31" s="1"/>
      <c r="N31" s="1"/>
    </row>
    <row r="32" spans="1:34">
      <c r="M32" s="1"/>
      <c r="N32" s="1"/>
    </row>
  </sheetData>
  <mergeCells count="6">
    <mergeCell ref="I18:L18"/>
    <mergeCell ref="G21:G24"/>
    <mergeCell ref="H21:H22"/>
    <mergeCell ref="H23:H24"/>
    <mergeCell ref="I19:J20"/>
    <mergeCell ref="K19:L20"/>
  </mergeCells>
  <phoneticPr fontId="2" type="noConversion"/>
  <pageMargins left="0.75" right="0.75" top="1" bottom="1" header="0.5" footer="0.5"/>
  <pageSetup paperSize="9" scale="74" fitToWidth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6"/>
  <sheetViews>
    <sheetView topLeftCell="A14" zoomScale="80" zoomScaleNormal="80" workbookViewId="0">
      <selection activeCell="A38" sqref="A38:B46"/>
    </sheetView>
  </sheetViews>
  <sheetFormatPr defaultRowHeight="12.75"/>
  <cols>
    <col min="1" max="1" width="8.42578125" customWidth="1"/>
    <col min="7" max="7" width="11.7109375" customWidth="1"/>
    <col min="8" max="8" width="11.85546875" customWidth="1"/>
    <col min="10" max="10" width="9.7109375" bestFit="1" customWidth="1"/>
    <col min="13" max="13" width="11" customWidth="1"/>
    <col min="14" max="14" width="10.28515625" customWidth="1"/>
    <col min="20" max="20" width="12.140625" customWidth="1"/>
  </cols>
  <sheetData>
    <row r="1" spans="1:53" ht="15">
      <c r="B1" s="103"/>
      <c r="C1" s="103"/>
      <c r="D1" s="103"/>
      <c r="E1" s="129"/>
      <c r="F1" s="129" t="s">
        <v>41</v>
      </c>
      <c r="G1" s="151"/>
      <c r="H1" s="151"/>
      <c r="I1" s="151"/>
      <c r="J1" s="151"/>
      <c r="K1" s="151"/>
      <c r="L1" s="151"/>
      <c r="M1" s="152"/>
      <c r="N1" s="103"/>
      <c r="O1" s="102" t="s">
        <v>1</v>
      </c>
      <c r="P1" s="103"/>
      <c r="Q1" s="103"/>
      <c r="R1" s="103"/>
      <c r="S1" s="103"/>
      <c r="T1" s="103"/>
      <c r="U1" s="103"/>
      <c r="V1" s="103"/>
      <c r="W1" s="103"/>
    </row>
    <row r="2" spans="1:53" ht="15.75">
      <c r="B2" s="103"/>
      <c r="C2" s="103"/>
      <c r="D2" s="103"/>
      <c r="E2" s="420" t="s">
        <v>42</v>
      </c>
      <c r="F2" s="103"/>
      <c r="G2" s="151"/>
      <c r="H2" s="151"/>
      <c r="I2" s="151"/>
      <c r="J2" s="151"/>
      <c r="K2" s="152"/>
      <c r="L2" s="152"/>
      <c r="M2" s="152"/>
      <c r="N2" s="103"/>
      <c r="O2" s="102" t="s">
        <v>43</v>
      </c>
      <c r="P2" s="103"/>
      <c r="Q2" s="103"/>
      <c r="R2" s="103"/>
      <c r="S2" s="103"/>
      <c r="T2" s="103"/>
      <c r="U2" s="103"/>
      <c r="V2" s="103"/>
      <c r="W2" s="103"/>
    </row>
    <row r="3" spans="1:53">
      <c r="B3" s="154" t="s">
        <v>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53">
      <c r="AP4" s="2"/>
      <c r="AQ4" s="330" t="s">
        <v>44</v>
      </c>
      <c r="AR4" s="2"/>
      <c r="AS4" s="2"/>
      <c r="AT4" s="2"/>
      <c r="AU4" s="2"/>
      <c r="AV4" s="2"/>
      <c r="AW4" s="2"/>
      <c r="AX4" s="2"/>
      <c r="AY4" s="2"/>
      <c r="AZ4" s="2"/>
      <c r="BA4" s="16"/>
    </row>
    <row r="5" spans="1:53">
      <c r="A5" s="103"/>
      <c r="B5" s="102" t="s">
        <v>6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2" t="s">
        <v>8</v>
      </c>
      <c r="O5" s="103"/>
      <c r="P5" s="103"/>
      <c r="Q5" s="103"/>
      <c r="R5" s="103"/>
      <c r="S5" s="103"/>
      <c r="T5" s="103"/>
      <c r="U5" s="103"/>
      <c r="V5" s="103"/>
      <c r="W5" s="103"/>
      <c r="AA5" s="90" t="s">
        <v>45</v>
      </c>
      <c r="AP5" s="2"/>
      <c r="AQ5" s="17"/>
      <c r="AR5" s="331" t="s">
        <v>46</v>
      </c>
      <c r="AS5" s="18"/>
      <c r="AT5" s="18"/>
      <c r="AU5" s="18"/>
      <c r="AV5" s="25"/>
      <c r="AW5" s="25"/>
      <c r="AX5" s="26"/>
      <c r="AY5" s="16"/>
      <c r="AZ5" s="16"/>
      <c r="BA5" s="16"/>
    </row>
    <row r="6" spans="1:53">
      <c r="A6" s="103"/>
      <c r="B6" s="104"/>
      <c r="C6" s="164" t="s">
        <v>337</v>
      </c>
      <c r="D6" s="105"/>
      <c r="E6" s="105"/>
      <c r="F6" s="105"/>
      <c r="G6" s="164" t="s">
        <v>47</v>
      </c>
      <c r="H6" s="105"/>
      <c r="I6" s="105"/>
      <c r="J6" s="105"/>
      <c r="K6" s="106"/>
      <c r="L6" s="103"/>
      <c r="M6" s="103"/>
      <c r="N6" s="104"/>
      <c r="O6" s="105" t="s">
        <v>11</v>
      </c>
      <c r="P6" s="105"/>
      <c r="Q6" s="105"/>
      <c r="R6" s="105"/>
      <c r="S6" s="105" t="s">
        <v>10</v>
      </c>
      <c r="T6" s="105"/>
      <c r="U6" s="105"/>
      <c r="V6" s="105"/>
      <c r="W6" s="106"/>
      <c r="AA6" s="90" t="s">
        <v>23</v>
      </c>
      <c r="AD6">
        <f>$C$11-$C$11*0.6</f>
        <v>3.2</v>
      </c>
      <c r="AE6">
        <f>$C$11-$C$11*0.4</f>
        <v>4.8</v>
      </c>
      <c r="AF6">
        <f>$C$11-$C$11*0.2</f>
        <v>6.4</v>
      </c>
      <c r="AG6" s="1">
        <f>$C$11</f>
        <v>8</v>
      </c>
      <c r="AH6">
        <f>$C$11+$C$11*0.2</f>
        <v>9.6</v>
      </c>
      <c r="AI6">
        <f>$C$11+$C$11*0.4</f>
        <v>11.2</v>
      </c>
      <c r="AJ6">
        <f>$C$11+$C$11*0.6</f>
        <v>12.8</v>
      </c>
      <c r="AP6" s="2"/>
      <c r="AQ6" s="19"/>
      <c r="AR6" s="20"/>
      <c r="AS6" s="20"/>
      <c r="AT6" s="20"/>
      <c r="AU6" s="20"/>
      <c r="AV6" s="27"/>
      <c r="AW6" s="27"/>
      <c r="AX6" s="28"/>
      <c r="AY6" s="16"/>
      <c r="AZ6" s="16"/>
      <c r="BA6" s="16"/>
    </row>
    <row r="7" spans="1:53" ht="15.75">
      <c r="A7" s="103"/>
      <c r="B7" s="107"/>
      <c r="C7" s="108"/>
      <c r="D7" s="108"/>
      <c r="E7" s="108"/>
      <c r="F7" s="108"/>
      <c r="G7" s="108"/>
      <c r="H7" s="108"/>
      <c r="I7" s="108"/>
      <c r="J7" s="108"/>
      <c r="K7" s="109"/>
      <c r="L7" s="103"/>
      <c r="M7" s="103"/>
      <c r="N7" s="107"/>
      <c r="O7" s="108"/>
      <c r="P7" s="108"/>
      <c r="Q7" s="108"/>
      <c r="R7" s="108"/>
      <c r="S7" s="108"/>
      <c r="T7" s="108"/>
      <c r="U7" s="108"/>
      <c r="V7" s="108"/>
      <c r="W7" s="109"/>
      <c r="AA7" s="90" t="s">
        <v>48</v>
      </c>
      <c r="AD7">
        <f t="shared" ref="AD7:AJ7" si="0">$C$8+$E$8*AD6</f>
        <v>4.2</v>
      </c>
      <c r="AE7">
        <f t="shared" si="0"/>
        <v>3.8</v>
      </c>
      <c r="AF7">
        <f t="shared" si="0"/>
        <v>3.4</v>
      </c>
      <c r="AG7" s="1">
        <f t="shared" si="0"/>
        <v>3</v>
      </c>
      <c r="AH7">
        <f t="shared" si="0"/>
        <v>2.6</v>
      </c>
      <c r="AI7">
        <f t="shared" si="0"/>
        <v>2.2000000000000002</v>
      </c>
      <c r="AJ7">
        <f t="shared" si="0"/>
        <v>1.7999999999999998</v>
      </c>
      <c r="AP7" s="2"/>
      <c r="AQ7" s="332" t="s">
        <v>49</v>
      </c>
      <c r="AR7" s="21">
        <v>1000</v>
      </c>
      <c r="AS7" s="333" t="s">
        <v>22</v>
      </c>
      <c r="AT7" s="21">
        <v>-2</v>
      </c>
      <c r="AU7" s="334" t="s">
        <v>23</v>
      </c>
      <c r="AV7" s="335" t="s">
        <v>22</v>
      </c>
      <c r="AW7" s="31">
        <v>-2</v>
      </c>
      <c r="AX7" s="336" t="s">
        <v>50</v>
      </c>
      <c r="AY7" s="16"/>
      <c r="AZ7" s="16"/>
      <c r="BA7" s="16"/>
    </row>
    <row r="8" spans="1:53" ht="15.75">
      <c r="A8" s="103"/>
      <c r="B8" s="337" t="s">
        <v>49</v>
      </c>
      <c r="C8" s="188">
        <v>5</v>
      </c>
      <c r="D8" s="338" t="s">
        <v>22</v>
      </c>
      <c r="E8" s="188">
        <v>-0.25</v>
      </c>
      <c r="F8" s="339" t="s">
        <v>23</v>
      </c>
      <c r="G8" s="340" t="s">
        <v>51</v>
      </c>
      <c r="H8" s="188">
        <v>-5</v>
      </c>
      <c r="I8" s="338" t="s">
        <v>22</v>
      </c>
      <c r="J8" s="188">
        <v>1</v>
      </c>
      <c r="K8" s="341" t="s">
        <v>23</v>
      </c>
      <c r="L8" s="103"/>
      <c r="M8" s="92" t="s">
        <v>52</v>
      </c>
      <c r="N8" s="337" t="s">
        <v>53</v>
      </c>
      <c r="O8" s="188">
        <v>10</v>
      </c>
      <c r="P8" s="338" t="s">
        <v>22</v>
      </c>
      <c r="Q8" s="188">
        <v>-0.75</v>
      </c>
      <c r="R8" s="339" t="s">
        <v>23</v>
      </c>
      <c r="S8" s="340" t="s">
        <v>54</v>
      </c>
      <c r="T8" s="188">
        <v>-5</v>
      </c>
      <c r="U8" s="338" t="s">
        <v>22</v>
      </c>
      <c r="V8" s="188">
        <v>1</v>
      </c>
      <c r="W8" s="341" t="s">
        <v>23</v>
      </c>
      <c r="AP8" s="2"/>
      <c r="AQ8" s="19"/>
      <c r="AR8" s="20"/>
      <c r="AS8" s="20"/>
      <c r="AT8" s="20"/>
      <c r="AU8" s="20"/>
      <c r="AV8" s="27"/>
      <c r="AW8" s="27"/>
      <c r="AX8" s="28"/>
      <c r="AY8" s="16"/>
      <c r="AZ8" s="16"/>
      <c r="BA8" s="16"/>
    </row>
    <row r="9" spans="1:53">
      <c r="A9" s="103"/>
      <c r="B9" s="165"/>
      <c r="C9" s="112"/>
      <c r="D9" s="112"/>
      <c r="E9" s="112"/>
      <c r="F9" s="112"/>
      <c r="G9" s="112"/>
      <c r="H9" s="112"/>
      <c r="I9" s="112"/>
      <c r="J9" s="112"/>
      <c r="K9" s="113"/>
      <c r="L9" s="103"/>
      <c r="M9" s="103"/>
      <c r="N9" s="107"/>
      <c r="O9" s="108"/>
      <c r="P9" s="108"/>
      <c r="Q9" s="108"/>
      <c r="R9" s="108"/>
      <c r="S9" s="108"/>
      <c r="T9" s="108"/>
      <c r="U9" s="108"/>
      <c r="V9" s="108"/>
      <c r="W9" s="109"/>
      <c r="AA9" s="90" t="s">
        <v>55</v>
      </c>
      <c r="AP9" s="2"/>
      <c r="AQ9" s="342" t="s">
        <v>56</v>
      </c>
      <c r="AR9" s="20"/>
      <c r="AS9" s="20"/>
      <c r="AT9" s="20"/>
      <c r="AU9" s="20"/>
      <c r="AV9" s="27"/>
      <c r="AW9" s="27"/>
      <c r="AX9" s="28"/>
      <c r="AY9" s="16"/>
      <c r="AZ9" s="16"/>
      <c r="BA9" s="16"/>
    </row>
    <row r="10" spans="1:53" ht="15.75">
      <c r="A10" s="103"/>
      <c r="B10" s="103" t="s">
        <v>57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343" t="s">
        <v>58</v>
      </c>
      <c r="O10" s="189">
        <v>5</v>
      </c>
      <c r="P10" s="344" t="s">
        <v>22</v>
      </c>
      <c r="Q10" s="189">
        <v>-0.25</v>
      </c>
      <c r="R10" s="345" t="s">
        <v>23</v>
      </c>
      <c r="S10" s="346" t="s">
        <v>59</v>
      </c>
      <c r="T10" s="189">
        <v>-10</v>
      </c>
      <c r="U10" s="344" t="s">
        <v>22</v>
      </c>
      <c r="V10" s="189">
        <v>1</v>
      </c>
      <c r="W10" s="347" t="s">
        <v>23</v>
      </c>
      <c r="AA10" s="90" t="s">
        <v>23</v>
      </c>
      <c r="AD10">
        <f>$C$11-$C$11*0.6</f>
        <v>3.2</v>
      </c>
      <c r="AE10">
        <f>$C$11-$C$11*0.4</f>
        <v>4.8</v>
      </c>
      <c r="AF10">
        <f>$C$11-$C$11*0.2</f>
        <v>6.4</v>
      </c>
      <c r="AG10" s="1">
        <f>$C$11</f>
        <v>8</v>
      </c>
      <c r="AH10">
        <f>$C$11+$C$11*0.2</f>
        <v>9.6</v>
      </c>
      <c r="AI10">
        <f>$C$11+$C$11*0.4</f>
        <v>11.2</v>
      </c>
      <c r="AJ10">
        <f>$C$11+$C$11*0.6</f>
        <v>12.8</v>
      </c>
      <c r="AP10" s="2"/>
      <c r="AQ10" s="19"/>
      <c r="AR10" s="20"/>
      <c r="AS10" s="20"/>
      <c r="AT10" s="20"/>
      <c r="AU10" s="20"/>
      <c r="AV10" s="27"/>
      <c r="AW10" s="27"/>
      <c r="AX10" s="28"/>
      <c r="AY10" s="16"/>
      <c r="AZ10" s="16"/>
      <c r="BA10" s="16"/>
    </row>
    <row r="11" spans="1:53" ht="15.75">
      <c r="A11" s="103"/>
      <c r="B11" s="166" t="s">
        <v>60</v>
      </c>
      <c r="C11" s="129">
        <f>(C8-H8)/(J8-E8)</f>
        <v>8</v>
      </c>
      <c r="D11" s="129"/>
      <c r="E11" s="166" t="s">
        <v>61</v>
      </c>
      <c r="F11" s="129">
        <f>((J8*C8)-(E8*H8))/(J8-E8)</f>
        <v>3</v>
      </c>
      <c r="G11" s="103"/>
      <c r="H11" s="92" t="s">
        <v>52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AA11" s="90" t="s">
        <v>62</v>
      </c>
      <c r="AB11" s="90"/>
      <c r="AC11" s="90"/>
      <c r="AD11" s="90">
        <f t="shared" ref="AD11:AJ11" si="1">$H$8+$J$8*AD10</f>
        <v>-1.7999999999999998</v>
      </c>
      <c r="AE11" s="90">
        <f t="shared" si="1"/>
        <v>-0.20000000000000018</v>
      </c>
      <c r="AF11" s="90">
        <f t="shared" si="1"/>
        <v>1.4000000000000004</v>
      </c>
      <c r="AG11" s="1">
        <f t="shared" si="1"/>
        <v>3</v>
      </c>
      <c r="AH11" s="90">
        <f t="shared" si="1"/>
        <v>4.5999999999999996</v>
      </c>
      <c r="AI11" s="90">
        <f t="shared" si="1"/>
        <v>6.1999999999999993</v>
      </c>
      <c r="AJ11" s="90">
        <f t="shared" si="1"/>
        <v>7.8000000000000007</v>
      </c>
      <c r="AK11" s="90"/>
      <c r="AL11" s="90"/>
      <c r="AP11" s="2"/>
      <c r="AQ11" s="348" t="s">
        <v>51</v>
      </c>
      <c r="AR11" s="22">
        <v>200</v>
      </c>
      <c r="AS11" s="349" t="s">
        <v>22</v>
      </c>
      <c r="AT11" s="22">
        <v>4</v>
      </c>
      <c r="AU11" s="350" t="s">
        <v>23</v>
      </c>
      <c r="AV11" s="351" t="s">
        <v>22</v>
      </c>
      <c r="AW11" s="36">
        <v>-2</v>
      </c>
      <c r="AX11" s="352" t="s">
        <v>50</v>
      </c>
      <c r="AY11" s="16"/>
      <c r="AZ11" s="16"/>
      <c r="BA11" s="16"/>
    </row>
    <row r="12" spans="1:53">
      <c r="A12" s="103"/>
      <c r="B12" s="103" t="s">
        <v>63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29" t="s">
        <v>30</v>
      </c>
      <c r="R12" s="103"/>
      <c r="S12" s="103"/>
      <c r="T12" s="103"/>
      <c r="U12" s="103"/>
      <c r="V12" s="103"/>
      <c r="W12" s="103"/>
      <c r="AP12" s="16"/>
      <c r="AQ12" s="20"/>
      <c r="AR12" s="20"/>
      <c r="AS12" s="20"/>
      <c r="AT12" s="20"/>
      <c r="AU12" s="20"/>
      <c r="AV12" s="16"/>
      <c r="AW12" s="16"/>
      <c r="AX12" s="16"/>
      <c r="AY12" s="16"/>
      <c r="AZ12" s="16"/>
      <c r="BA12" s="16"/>
    </row>
    <row r="13" spans="1:53" ht="18.75">
      <c r="A13" s="103"/>
      <c r="B13" s="167" t="s">
        <v>64</v>
      </c>
      <c r="C13" s="149">
        <v>8</v>
      </c>
      <c r="D13" s="103"/>
      <c r="E13" s="190" t="s">
        <v>65</v>
      </c>
      <c r="F13" s="191">
        <f>C8+E8*C13</f>
        <v>3</v>
      </c>
      <c r="G13" s="103"/>
      <c r="H13" s="190" t="s">
        <v>66</v>
      </c>
      <c r="I13" s="191">
        <f>H8+J8*C13</f>
        <v>3</v>
      </c>
      <c r="J13" s="103"/>
      <c r="K13" s="103"/>
      <c r="L13" s="103"/>
      <c r="M13" s="103"/>
      <c r="N13" s="103"/>
      <c r="O13" s="103"/>
      <c r="P13" s="103"/>
      <c r="Q13" s="103" t="s">
        <v>31</v>
      </c>
      <c r="R13" s="103"/>
      <c r="S13" s="103" t="s">
        <v>32</v>
      </c>
      <c r="T13" s="103"/>
      <c r="U13" s="103"/>
      <c r="V13" s="103"/>
      <c r="W13" s="103"/>
      <c r="AA13" s="90" t="s">
        <v>67</v>
      </c>
      <c r="AB13">
        <f>$C$11-$C$11*1</f>
        <v>0</v>
      </c>
      <c r="AC13">
        <f>$C$11-$C$11*0.8</f>
        <v>1.5999999999999996</v>
      </c>
      <c r="AD13">
        <f>$C$11-$C$11*0.6</f>
        <v>3.2</v>
      </c>
      <c r="AE13">
        <f>$C$11-$C$11*0.4</f>
        <v>4.8</v>
      </c>
      <c r="AF13">
        <f>$C$11-$C$11*0.2</f>
        <v>6.4</v>
      </c>
      <c r="AG13" s="1">
        <f>$C$11</f>
        <v>8</v>
      </c>
      <c r="AP13" s="16"/>
      <c r="AQ13" s="2" t="s">
        <v>68</v>
      </c>
      <c r="AR13" s="2"/>
      <c r="AS13" s="2"/>
      <c r="AT13" s="2"/>
      <c r="AU13" s="2"/>
      <c r="AV13" s="2"/>
      <c r="AW13" s="2"/>
      <c r="AX13" s="16"/>
      <c r="AY13" s="16"/>
      <c r="AZ13" s="16"/>
      <c r="BA13" s="16"/>
    </row>
    <row r="14" spans="1:53" ht="15" thickBo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AB14">
        <f t="shared" ref="AB14:AG14" si="2">$F$11</f>
        <v>3</v>
      </c>
      <c r="AC14">
        <f t="shared" si="2"/>
        <v>3</v>
      </c>
      <c r="AD14">
        <f t="shared" si="2"/>
        <v>3</v>
      </c>
      <c r="AE14">
        <f t="shared" si="2"/>
        <v>3</v>
      </c>
      <c r="AF14">
        <f t="shared" si="2"/>
        <v>3</v>
      </c>
      <c r="AG14">
        <f t="shared" si="2"/>
        <v>3</v>
      </c>
      <c r="AP14" s="16"/>
      <c r="AQ14" s="5" t="s">
        <v>60</v>
      </c>
      <c r="AR14" s="3">
        <f>(AR7-AR11)/(AT11-AT7)</f>
        <v>133.33333333333334</v>
      </c>
      <c r="AS14" s="3"/>
      <c r="AT14" s="5" t="s">
        <v>61</v>
      </c>
      <c r="AU14" s="3">
        <f>((AT11*AR7)-(AT7*AR11))/(AT11-AT7)</f>
        <v>733.33333333333337</v>
      </c>
      <c r="AV14" s="2"/>
      <c r="AW14" s="330" t="s">
        <v>69</v>
      </c>
      <c r="AX14" s="16"/>
      <c r="AY14" s="16"/>
      <c r="AZ14" s="16"/>
      <c r="BA14" s="16"/>
    </row>
    <row r="15" spans="1:53" ht="24" customHeight="1">
      <c r="A15" s="103"/>
      <c r="B15" s="129" t="s">
        <v>70</v>
      </c>
      <c r="C15" s="103"/>
      <c r="D15" s="353" t="s">
        <v>71</v>
      </c>
      <c r="E15" s="102" t="s">
        <v>72</v>
      </c>
      <c r="F15" s="103">
        <f>I13-F13</f>
        <v>0</v>
      </c>
      <c r="G15" s="92" t="s">
        <v>52</v>
      </c>
      <c r="H15" s="103"/>
      <c r="I15" s="103">
        <f>C13*F15</f>
        <v>0</v>
      </c>
      <c r="J15" s="103"/>
      <c r="K15" s="103"/>
      <c r="L15" s="103"/>
      <c r="M15" s="103"/>
      <c r="N15" s="129" t="s">
        <v>18</v>
      </c>
      <c r="O15" s="428" t="s">
        <v>34</v>
      </c>
      <c r="P15" s="168" t="s">
        <v>73</v>
      </c>
      <c r="Q15" s="169">
        <f>(O8-T8)/(V8-Q8)</f>
        <v>8.5714285714285712</v>
      </c>
      <c r="R15" s="170" t="s">
        <v>74</v>
      </c>
      <c r="S15" s="171">
        <f>(O10-T8)/(V8-Q10)</f>
        <v>8</v>
      </c>
      <c r="T15" s="92" t="s">
        <v>52</v>
      </c>
      <c r="U15" s="353" t="s">
        <v>75</v>
      </c>
      <c r="V15" s="172">
        <f>S15-Q15</f>
        <v>-0.57142857142857117</v>
      </c>
      <c r="W15" s="103"/>
      <c r="AA15" s="90" t="s">
        <v>76</v>
      </c>
      <c r="AB15">
        <f>$F$11-$F$11*1</f>
        <v>0</v>
      </c>
      <c r="AC15">
        <f>$F$11-$F$11*0.8</f>
        <v>0.59999999999999964</v>
      </c>
      <c r="AD15">
        <f>$F$11-$F$11*0.6</f>
        <v>1.2000000000000002</v>
      </c>
      <c r="AE15">
        <f>$F$11-$F$11*0.4</f>
        <v>1.7999999999999998</v>
      </c>
      <c r="AF15">
        <f>$F$11-$F$11*0.2</f>
        <v>2.4</v>
      </c>
      <c r="AG15" s="1">
        <f>F11</f>
        <v>3</v>
      </c>
      <c r="AP15" s="16"/>
      <c r="AQ15" s="2" t="s">
        <v>77</v>
      </c>
      <c r="AR15" s="2"/>
      <c r="AS15" s="2"/>
      <c r="AT15" s="2"/>
      <c r="AU15" s="2"/>
      <c r="AV15" s="2"/>
      <c r="AW15" s="2"/>
      <c r="AX15" s="16"/>
      <c r="AY15" s="16"/>
      <c r="AZ15" s="16"/>
      <c r="BA15" s="16"/>
    </row>
    <row r="16" spans="1:53" ht="24" customHeight="1">
      <c r="M16" s="103"/>
      <c r="N16" s="103"/>
      <c r="O16" s="428"/>
      <c r="P16" s="173" t="s">
        <v>78</v>
      </c>
      <c r="Q16" s="174">
        <f>((V8*O8)-(Q8*T8))/(V8-Q8)</f>
        <v>3.5714285714285716</v>
      </c>
      <c r="R16" s="175" t="s">
        <v>79</v>
      </c>
      <c r="S16" s="176">
        <f>((V8*O10)-(Q10*T8))/(V8-Q10)</f>
        <v>3</v>
      </c>
      <c r="T16" s="103"/>
      <c r="U16" s="353" t="s">
        <v>80</v>
      </c>
      <c r="V16" s="172">
        <f>S16-Q16</f>
        <v>-0.57142857142857162</v>
      </c>
      <c r="W16" s="103"/>
      <c r="AB16" s="1">
        <f t="shared" ref="AB16:AG16" si="3">$C$11</f>
        <v>8</v>
      </c>
      <c r="AC16" s="1">
        <f t="shared" si="3"/>
        <v>8</v>
      </c>
      <c r="AD16" s="1">
        <f t="shared" si="3"/>
        <v>8</v>
      </c>
      <c r="AE16" s="1">
        <f t="shared" si="3"/>
        <v>8</v>
      </c>
      <c r="AF16" s="1">
        <f t="shared" si="3"/>
        <v>8</v>
      </c>
      <c r="AG16" s="1">
        <f t="shared" si="3"/>
        <v>8</v>
      </c>
      <c r="AP16" s="16"/>
      <c r="AQ16" s="6" t="s">
        <v>64</v>
      </c>
      <c r="AR16" s="4">
        <v>133.33000000000001</v>
      </c>
      <c r="AS16" s="2"/>
      <c r="AT16" s="330" t="s">
        <v>49</v>
      </c>
      <c r="AU16" s="2">
        <f>AR7+AT7*AR16</f>
        <v>733.33999999999992</v>
      </c>
      <c r="AV16" s="2"/>
      <c r="AW16" s="2"/>
      <c r="AX16" s="16"/>
      <c r="AY16" s="16"/>
      <c r="AZ16" s="16"/>
      <c r="BA16" s="16"/>
    </row>
    <row r="17" spans="11:53" ht="24" customHeight="1">
      <c r="M17" s="103"/>
      <c r="N17" s="103"/>
      <c r="O17" s="428" t="s">
        <v>39</v>
      </c>
      <c r="P17" s="177" t="s">
        <v>81</v>
      </c>
      <c r="Q17" s="178">
        <f>(O8-T10)/(V10-Q8)</f>
        <v>11.428571428571429</v>
      </c>
      <c r="R17" s="179" t="s">
        <v>82</v>
      </c>
      <c r="S17" s="180">
        <f>(O10-T10)/(V10-Q10)</f>
        <v>12</v>
      </c>
      <c r="T17" s="103"/>
      <c r="U17" s="353" t="s">
        <v>83</v>
      </c>
      <c r="V17" s="172">
        <f>S17-Q17</f>
        <v>0.57142857142857117</v>
      </c>
      <c r="W17" s="103"/>
      <c r="AP17" s="16"/>
      <c r="AQ17" s="2"/>
      <c r="AR17" s="2"/>
      <c r="AS17" s="2"/>
      <c r="AT17" s="330" t="s">
        <v>51</v>
      </c>
      <c r="AU17" s="2">
        <f>AR11+AT11*AR16</f>
        <v>733.32</v>
      </c>
      <c r="AV17" s="2"/>
      <c r="AW17" s="2"/>
      <c r="AX17" s="16"/>
      <c r="AY17" s="16"/>
      <c r="AZ17" s="16"/>
      <c r="BA17" s="16"/>
    </row>
    <row r="18" spans="11:53" ht="24" customHeight="1" thickBot="1">
      <c r="M18" s="103"/>
      <c r="N18" s="103"/>
      <c r="O18" s="428"/>
      <c r="P18" s="181" t="s">
        <v>84</v>
      </c>
      <c r="Q18" s="182">
        <f>((V10*O8)-(Q8*T10))/(V10-Q8)</f>
        <v>1.4285714285714286</v>
      </c>
      <c r="R18" s="183" t="s">
        <v>85</v>
      </c>
      <c r="S18" s="184">
        <f>((V10*O10)-(Q10*T10))/(V10-Q10)</f>
        <v>2</v>
      </c>
      <c r="T18" s="103"/>
      <c r="U18" s="353" t="s">
        <v>86</v>
      </c>
      <c r="V18" s="172">
        <f>S18-Q18</f>
        <v>0.5714285714285714</v>
      </c>
      <c r="W18" s="103"/>
      <c r="AA18" t="s">
        <v>87</v>
      </c>
      <c r="AB18" t="s">
        <v>88</v>
      </c>
      <c r="AP18" s="16"/>
      <c r="AQ18" s="2"/>
      <c r="AR18" s="2"/>
      <c r="AS18" s="354" t="s">
        <v>71</v>
      </c>
      <c r="AT18" s="330" t="s">
        <v>72</v>
      </c>
      <c r="AU18" s="2">
        <f>AU17-AU16</f>
        <v>-1.9999999999868123E-2</v>
      </c>
      <c r="AV18" s="2"/>
      <c r="AW18" s="2">
        <f>AR16*AU18</f>
        <v>-2.666599999982417</v>
      </c>
      <c r="AX18" s="16"/>
      <c r="AY18" s="16"/>
      <c r="AZ18" s="16"/>
      <c r="BA18" s="16"/>
    </row>
    <row r="19" spans="11:53">
      <c r="M19" s="103"/>
      <c r="N19" s="103"/>
      <c r="O19" s="103"/>
      <c r="P19" s="103"/>
      <c r="Q19" s="103"/>
      <c r="R19" s="103"/>
      <c r="S19" s="103"/>
      <c r="T19" s="103"/>
      <c r="U19" s="103"/>
      <c r="V19" s="129"/>
      <c r="W19" s="103"/>
      <c r="AA19" s="2">
        <f>C8+E8*C13</f>
        <v>3</v>
      </c>
      <c r="AB19" s="2">
        <f>H8+J8*C13</f>
        <v>3</v>
      </c>
    </row>
    <row r="20" spans="11:53" ht="15.75">
      <c r="M20" s="353" t="s">
        <v>89</v>
      </c>
      <c r="N20" s="172">
        <f>S15-Q17</f>
        <v>-3.4285714285714288</v>
      </c>
      <c r="O20" s="102"/>
      <c r="P20" s="353" t="s">
        <v>90</v>
      </c>
      <c r="Q20" s="172">
        <f>Q17-Q15</f>
        <v>2.8571428571428577</v>
      </c>
      <c r="R20" s="353" t="s">
        <v>91</v>
      </c>
      <c r="S20" s="172">
        <f>S17-S15</f>
        <v>4</v>
      </c>
      <c r="T20" s="102"/>
      <c r="U20" s="353" t="s">
        <v>92</v>
      </c>
      <c r="V20" s="172">
        <f>S17-Q15</f>
        <v>3.4285714285714288</v>
      </c>
      <c r="W20" s="103"/>
      <c r="AA20">
        <f>C13</f>
        <v>8</v>
      </c>
      <c r="AB20">
        <f>C13</f>
        <v>8</v>
      </c>
    </row>
    <row r="21" spans="11:53" ht="15.75">
      <c r="M21" s="353" t="s">
        <v>93</v>
      </c>
      <c r="N21" s="172">
        <f>S16-Q18</f>
        <v>1.5714285714285714</v>
      </c>
      <c r="O21" s="102"/>
      <c r="P21" s="353" t="s">
        <v>94</v>
      </c>
      <c r="Q21" s="172">
        <f>Q18-Q16</f>
        <v>-2.1428571428571432</v>
      </c>
      <c r="R21" s="353" t="s">
        <v>95</v>
      </c>
      <c r="S21" s="172">
        <f>S18-S16</f>
        <v>-1</v>
      </c>
      <c r="T21" s="102"/>
      <c r="U21" s="353" t="s">
        <v>96</v>
      </c>
      <c r="V21" s="172">
        <f>S18-Q16</f>
        <v>-1.5714285714285716</v>
      </c>
      <c r="W21" s="103"/>
    </row>
    <row r="22" spans="11:53"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AA22" s="90" t="s">
        <v>97</v>
      </c>
    </row>
    <row r="23" spans="11:53">
      <c r="M23" s="103"/>
      <c r="N23" s="103"/>
      <c r="O23" s="103"/>
      <c r="P23" s="103"/>
      <c r="Q23" s="102"/>
      <c r="R23" s="102"/>
      <c r="S23" s="102"/>
      <c r="T23" s="103"/>
      <c r="U23" s="103"/>
      <c r="V23" s="103"/>
      <c r="W23" s="103"/>
      <c r="X23" s="24"/>
      <c r="Y23" s="24"/>
      <c r="Z23" s="24"/>
      <c r="AA23" s="90" t="s">
        <v>23</v>
      </c>
      <c r="AB23" s="34">
        <f>$Q$15-$Q$15</f>
        <v>0</v>
      </c>
      <c r="AC23">
        <f>$Q$15-$Q$15*0.8</f>
        <v>1.7142857142857135</v>
      </c>
      <c r="AD23">
        <f>$Q$15-$Q$15*0.6</f>
        <v>3.4285714285714288</v>
      </c>
      <c r="AE23">
        <f>$Q$15-$Q$15*0.4</f>
        <v>5.1428571428571423</v>
      </c>
      <c r="AF23">
        <f>$Q$15-$Q$15*0.2</f>
        <v>6.8571428571428568</v>
      </c>
      <c r="AG23" s="1">
        <f>$Q$15</f>
        <v>8.5714285714285712</v>
      </c>
      <c r="AH23">
        <f>$Q$15+$Q$15*0.2</f>
        <v>10.285714285714285</v>
      </c>
      <c r="AI23">
        <f>$Q$15+$Q$15*0.4</f>
        <v>12</v>
      </c>
      <c r="AJ23">
        <f>$Q$15+$Q$15*0.6</f>
        <v>13.714285714285714</v>
      </c>
      <c r="AK23">
        <f>$Q$15+$Q$15*0.8</f>
        <v>15.428571428571429</v>
      </c>
      <c r="AL23" s="34">
        <f>$Q$15+$Q$15</f>
        <v>17.142857142857142</v>
      </c>
    </row>
    <row r="24" spans="11:53" ht="15.75">
      <c r="M24" s="103"/>
      <c r="N24" s="103"/>
      <c r="O24" s="340" t="s">
        <v>98</v>
      </c>
      <c r="P24" s="355">
        <v>9</v>
      </c>
      <c r="Q24" s="185">
        <f>P24</f>
        <v>9</v>
      </c>
      <c r="R24" s="102"/>
      <c r="S24" s="102"/>
      <c r="T24" s="103"/>
      <c r="U24" s="103"/>
      <c r="V24" s="103"/>
      <c r="W24" s="103"/>
      <c r="X24" s="326" t="s">
        <v>99</v>
      </c>
      <c r="Y24" s="326"/>
      <c r="Z24" s="326"/>
      <c r="AA24" s="90" t="s">
        <v>48</v>
      </c>
      <c r="AB24" s="1">
        <f t="shared" ref="AB24:AL24" si="4">$O$8+$Q$8*AB23</f>
        <v>10</v>
      </c>
      <c r="AC24" s="1">
        <f t="shared" si="4"/>
        <v>8.7142857142857153</v>
      </c>
      <c r="AD24" s="1">
        <f t="shared" si="4"/>
        <v>7.4285714285714288</v>
      </c>
      <c r="AE24" s="1">
        <f t="shared" si="4"/>
        <v>6.1428571428571432</v>
      </c>
      <c r="AF24" s="1">
        <f t="shared" si="4"/>
        <v>4.8571428571428577</v>
      </c>
      <c r="AG24" s="1">
        <f t="shared" si="4"/>
        <v>3.5714285714285712</v>
      </c>
      <c r="AH24">
        <f t="shared" si="4"/>
        <v>2.2857142857142865</v>
      </c>
      <c r="AI24">
        <f t="shared" si="4"/>
        <v>1</v>
      </c>
      <c r="AJ24">
        <f t="shared" si="4"/>
        <v>-0.2857142857142847</v>
      </c>
      <c r="AK24">
        <f t="shared" si="4"/>
        <v>-1.5714285714285712</v>
      </c>
      <c r="AL24">
        <f t="shared" si="4"/>
        <v>-2.8571428571428577</v>
      </c>
    </row>
    <row r="25" spans="11:53">
      <c r="M25" s="103"/>
      <c r="N25" s="103"/>
      <c r="O25" s="102"/>
      <c r="P25" s="130" t="s">
        <v>31</v>
      </c>
      <c r="Q25" s="130" t="s">
        <v>32</v>
      </c>
      <c r="R25" s="129"/>
      <c r="S25" s="130" t="s">
        <v>34</v>
      </c>
      <c r="T25" s="130" t="s">
        <v>39</v>
      </c>
      <c r="U25" s="103"/>
      <c r="V25" s="103"/>
      <c r="W25" s="103"/>
      <c r="X25" s="326" t="s">
        <v>100</v>
      </c>
      <c r="Y25" s="326"/>
      <c r="Z25" s="326"/>
      <c r="AA25" s="90" t="s">
        <v>101</v>
      </c>
    </row>
    <row r="26" spans="11:53">
      <c r="M26" s="103"/>
      <c r="N26" s="103"/>
      <c r="O26" s="353" t="s">
        <v>102</v>
      </c>
      <c r="P26" s="130">
        <f>O8+Q8*P24</f>
        <v>3.25</v>
      </c>
      <c r="Q26" s="130">
        <f>O10+Q10*P24</f>
        <v>2.75</v>
      </c>
      <c r="R26" s="129"/>
      <c r="S26" s="130">
        <f>T8+V8*P24</f>
        <v>4</v>
      </c>
      <c r="T26" s="130">
        <f>T10+V10*P24</f>
        <v>-1</v>
      </c>
      <c r="U26" s="103"/>
      <c r="V26" s="103"/>
      <c r="W26" s="103"/>
      <c r="X26" s="326" t="s">
        <v>103</v>
      </c>
      <c r="Y26" s="326"/>
      <c r="Z26" s="326"/>
      <c r="AA26" s="90" t="s">
        <v>23</v>
      </c>
      <c r="AB26" s="34">
        <f>$S$15-$S$15</f>
        <v>0</v>
      </c>
      <c r="AC26">
        <f>$S$15-$S$15*0.8</f>
        <v>1.5999999999999996</v>
      </c>
      <c r="AD26">
        <f>$S$15-$S$15*0.6</f>
        <v>3.2</v>
      </c>
      <c r="AE26">
        <f>$S$15-$S$15*0.4</f>
        <v>4.8</v>
      </c>
      <c r="AF26">
        <f>$S$15-$S$15*0.2</f>
        <v>6.4</v>
      </c>
      <c r="AG26" s="1">
        <f>$S$15</f>
        <v>8</v>
      </c>
      <c r="AH26">
        <f>$S$15+$S$15*0.2</f>
        <v>9.6</v>
      </c>
      <c r="AI26">
        <f>$S$15+$S$15*0.4</f>
        <v>11.2</v>
      </c>
      <c r="AJ26">
        <f>$S$15+$S$15*0.6</f>
        <v>12.8</v>
      </c>
      <c r="AK26">
        <f>$S$15+$S$15*0.8</f>
        <v>14.4</v>
      </c>
      <c r="AL26" s="34">
        <f>$S$15+$S$15</f>
        <v>16</v>
      </c>
    </row>
    <row r="27" spans="11:53" ht="15">
      <c r="M27" s="103"/>
      <c r="N27" s="129" t="s">
        <v>70</v>
      </c>
      <c r="O27" s="129"/>
      <c r="P27" s="186" t="s">
        <v>104</v>
      </c>
      <c r="Q27" s="151">
        <f>Q26-P26</f>
        <v>-0.5</v>
      </c>
      <c r="R27" s="129"/>
      <c r="S27" s="187" t="s">
        <v>105</v>
      </c>
      <c r="T27" s="151">
        <f>T26-S26</f>
        <v>-5</v>
      </c>
      <c r="U27" s="103"/>
      <c r="V27" s="103"/>
      <c r="W27" s="103"/>
      <c r="X27" s="326" t="s">
        <v>106</v>
      </c>
      <c r="Y27" s="326"/>
      <c r="Z27" s="326"/>
      <c r="AA27" s="90" t="s">
        <v>48</v>
      </c>
      <c r="AB27">
        <f t="shared" ref="AB27:AL27" si="5">$O$10+$Q$10*AB26</f>
        <v>5</v>
      </c>
      <c r="AC27">
        <f t="shared" si="5"/>
        <v>4.5999999999999996</v>
      </c>
      <c r="AD27">
        <f t="shared" si="5"/>
        <v>4.2</v>
      </c>
      <c r="AE27">
        <f t="shared" si="5"/>
        <v>3.8</v>
      </c>
      <c r="AF27">
        <f t="shared" si="5"/>
        <v>3.4</v>
      </c>
      <c r="AG27" s="1">
        <f t="shared" si="5"/>
        <v>3</v>
      </c>
      <c r="AH27">
        <f t="shared" si="5"/>
        <v>2.6</v>
      </c>
      <c r="AI27">
        <f t="shared" si="5"/>
        <v>2.2000000000000002</v>
      </c>
      <c r="AJ27">
        <f t="shared" si="5"/>
        <v>1.7999999999999998</v>
      </c>
      <c r="AK27">
        <f t="shared" si="5"/>
        <v>1.4</v>
      </c>
      <c r="AL27">
        <f t="shared" si="5"/>
        <v>1</v>
      </c>
    </row>
    <row r="28" spans="11:53">
      <c r="V28" s="149"/>
      <c r="X28" s="327" t="s">
        <v>107</v>
      </c>
      <c r="Y28" s="326"/>
      <c r="Z28" s="326"/>
      <c r="AA28" s="90" t="s">
        <v>108</v>
      </c>
    </row>
    <row r="29" spans="11:53">
      <c r="M29" s="101" t="s">
        <v>109</v>
      </c>
      <c r="N29" s="90" t="s">
        <v>110</v>
      </c>
      <c r="AA29" s="90" t="s">
        <v>23</v>
      </c>
      <c r="AB29" s="34">
        <f>$Q$17-$Q$17</f>
        <v>0</v>
      </c>
      <c r="AC29">
        <f>$Q$17-$Q$17*0.8</f>
        <v>2.2857142857142847</v>
      </c>
      <c r="AD29">
        <f>$Q$17-$Q$17*0.6</f>
        <v>4.5714285714285721</v>
      </c>
      <c r="AE29">
        <f>$Q$17-$Q$17*0.4</f>
        <v>6.8571428571428568</v>
      </c>
      <c r="AF29">
        <f>$Q$17-$Q$17*0.2</f>
        <v>9.1428571428571423</v>
      </c>
      <c r="AG29" s="1">
        <f>$Q$17</f>
        <v>11.428571428571429</v>
      </c>
      <c r="AH29">
        <f>$Q$17+$Q$17*0.2</f>
        <v>13.714285714285715</v>
      </c>
      <c r="AI29">
        <f>$Q$17+$Q$17*0.4</f>
        <v>16</v>
      </c>
      <c r="AJ29">
        <f>$Q$17+$Q$17*0.6</f>
        <v>18.285714285714285</v>
      </c>
      <c r="AK29">
        <f>$Q$17+$Q$17*0.8</f>
        <v>20.571428571428573</v>
      </c>
      <c r="AL29" s="34">
        <f>$Q$17+$Q$17</f>
        <v>22.857142857142858</v>
      </c>
    </row>
    <row r="30" spans="11:53">
      <c r="AA30" s="90" t="s">
        <v>62</v>
      </c>
      <c r="AB30" s="90">
        <f t="shared" ref="AB30:AL30" si="6">$T$8+$V$8*AB29</f>
        <v>-5</v>
      </c>
      <c r="AC30" s="90">
        <f t="shared" si="6"/>
        <v>-2.7142857142857153</v>
      </c>
      <c r="AD30" s="90">
        <f t="shared" si="6"/>
        <v>-0.42857142857142794</v>
      </c>
      <c r="AE30" s="90">
        <f t="shared" si="6"/>
        <v>1.8571428571428568</v>
      </c>
      <c r="AF30" s="90">
        <f t="shared" si="6"/>
        <v>4.1428571428571423</v>
      </c>
      <c r="AG30" s="1">
        <f t="shared" si="6"/>
        <v>6.4285714285714288</v>
      </c>
      <c r="AH30" s="90">
        <f t="shared" si="6"/>
        <v>8.7142857142857153</v>
      </c>
      <c r="AI30" s="90">
        <f t="shared" si="6"/>
        <v>11</v>
      </c>
      <c r="AJ30" s="90">
        <f t="shared" si="6"/>
        <v>13.285714285714285</v>
      </c>
      <c r="AK30" s="90">
        <f t="shared" si="6"/>
        <v>15.571428571428573</v>
      </c>
      <c r="AL30" s="90">
        <f t="shared" si="6"/>
        <v>17.857142857142858</v>
      </c>
    </row>
    <row r="31" spans="11:53">
      <c r="AA31" s="90" t="s">
        <v>111</v>
      </c>
    </row>
    <row r="32" spans="11:53">
      <c r="K32" s="24"/>
      <c r="L32" s="24"/>
      <c r="M32" s="24"/>
      <c r="N32" s="24"/>
      <c r="O32" s="24"/>
      <c r="P32" s="24"/>
      <c r="Q32" s="24"/>
      <c r="R32" s="24"/>
      <c r="S32" s="24"/>
      <c r="AA32" s="90" t="s">
        <v>23</v>
      </c>
      <c r="AB32" s="34">
        <f>$S$17-$S$17</f>
        <v>0</v>
      </c>
      <c r="AC32">
        <f>$S$17-$S$17*0.8</f>
        <v>2.3999999999999986</v>
      </c>
      <c r="AD32">
        <f>$S$17-$S$17*0.6</f>
        <v>4.8000000000000007</v>
      </c>
      <c r="AE32">
        <f>$S$17-$S$17*0.4</f>
        <v>7.1999999999999993</v>
      </c>
      <c r="AF32">
        <f>$S$17-$S$17*0.2</f>
        <v>9.6</v>
      </c>
      <c r="AG32" s="1">
        <f>$S$17</f>
        <v>12</v>
      </c>
      <c r="AH32">
        <f>$S$17+$S$17*0.2</f>
        <v>14.4</v>
      </c>
      <c r="AI32">
        <f>$S$17+$S$17*0.4</f>
        <v>16.8</v>
      </c>
      <c r="AJ32">
        <f>$S$17+$S$17*0.6</f>
        <v>19.2</v>
      </c>
      <c r="AK32">
        <f>$S$17+$S$17*0.8</f>
        <v>21.6</v>
      </c>
      <c r="AL32" s="34">
        <f>$S$17+$S$17</f>
        <v>24</v>
      </c>
    </row>
    <row r="33" spans="1:44">
      <c r="K33" s="24"/>
      <c r="L33" s="101"/>
      <c r="M33" s="24"/>
      <c r="N33" s="24"/>
      <c r="O33" s="24"/>
      <c r="P33" s="24"/>
      <c r="Q33" s="24"/>
      <c r="R33" s="24"/>
      <c r="S33" s="24"/>
      <c r="AA33" s="90" t="s">
        <v>62</v>
      </c>
      <c r="AB33" s="90">
        <f t="shared" ref="AB33:AL33" si="7">$T$10+$V$10*AB32</f>
        <v>-10</v>
      </c>
      <c r="AC33" s="90">
        <f t="shared" si="7"/>
        <v>-7.6000000000000014</v>
      </c>
      <c r="AD33" s="90">
        <f t="shared" si="7"/>
        <v>-5.1999999999999993</v>
      </c>
      <c r="AE33" s="90">
        <f t="shared" si="7"/>
        <v>-2.8000000000000007</v>
      </c>
      <c r="AF33" s="90">
        <f t="shared" si="7"/>
        <v>-0.40000000000000036</v>
      </c>
      <c r="AG33" s="1">
        <f t="shared" si="7"/>
        <v>2</v>
      </c>
      <c r="AH33" s="90">
        <f t="shared" si="7"/>
        <v>4.4000000000000004</v>
      </c>
      <c r="AI33" s="90">
        <f t="shared" si="7"/>
        <v>6.8000000000000007</v>
      </c>
      <c r="AJ33" s="90">
        <f t="shared" si="7"/>
        <v>9.1999999999999993</v>
      </c>
      <c r="AK33" s="90">
        <f t="shared" si="7"/>
        <v>11.600000000000001</v>
      </c>
      <c r="AL33" s="90">
        <f t="shared" si="7"/>
        <v>14</v>
      </c>
    </row>
    <row r="34" spans="1:44">
      <c r="K34" s="24"/>
      <c r="L34" s="33"/>
      <c r="M34" s="24"/>
      <c r="N34" s="24"/>
      <c r="O34" s="101"/>
      <c r="P34" s="24"/>
      <c r="Q34" s="24"/>
      <c r="R34" s="24"/>
      <c r="S34" s="24"/>
    </row>
    <row r="35" spans="1:44">
      <c r="K35" s="24"/>
      <c r="L35" s="24"/>
      <c r="M35" s="24"/>
      <c r="N35" s="24"/>
      <c r="O35" s="101"/>
      <c r="P35" s="24"/>
      <c r="Q35" s="24"/>
      <c r="R35" s="24"/>
      <c r="S35" s="24"/>
      <c r="AQ35" s="24"/>
      <c r="AR35" s="24"/>
    </row>
    <row r="36" spans="1:44">
      <c r="L36" s="24"/>
      <c r="M36" s="24"/>
      <c r="N36" s="356"/>
      <c r="O36" s="101"/>
      <c r="P36" s="24"/>
      <c r="Q36" s="24"/>
      <c r="R36" s="24"/>
      <c r="S36" s="24"/>
    </row>
    <row r="37" spans="1:44">
      <c r="M37" s="24"/>
      <c r="N37" s="24"/>
      <c r="O37" s="24"/>
      <c r="P37" s="24"/>
      <c r="Q37" s="24"/>
      <c r="R37" s="24"/>
      <c r="S37" s="24"/>
    </row>
    <row r="38" spans="1:44">
      <c r="A38" s="430" t="s">
        <v>518</v>
      </c>
      <c r="B38" s="103"/>
    </row>
    <row r="39" spans="1:44">
      <c r="A39" s="431" t="s">
        <v>510</v>
      </c>
      <c r="B39" s="432"/>
    </row>
    <row r="40" spans="1:44">
      <c r="A40" s="431" t="s">
        <v>511</v>
      </c>
      <c r="B40" s="432"/>
    </row>
    <row r="41" spans="1:44">
      <c r="A41" s="431" t="s">
        <v>512</v>
      </c>
      <c r="B41" s="432"/>
    </row>
    <row r="42" spans="1:44">
      <c r="A42" s="431" t="s">
        <v>513</v>
      </c>
      <c r="B42" s="432"/>
    </row>
    <row r="43" spans="1:44">
      <c r="A43" s="431" t="s">
        <v>514</v>
      </c>
      <c r="B43" s="432"/>
    </row>
    <row r="44" spans="1:44">
      <c r="A44" s="431" t="s">
        <v>515</v>
      </c>
      <c r="B44" s="431"/>
    </row>
    <row r="45" spans="1:44">
      <c r="A45" s="431" t="s">
        <v>516</v>
      </c>
      <c r="B45" s="431"/>
    </row>
    <row r="46" spans="1:44">
      <c r="A46" s="431" t="s">
        <v>517</v>
      </c>
      <c r="B46" s="431"/>
    </row>
  </sheetData>
  <mergeCells count="2">
    <mergeCell ref="O17:O18"/>
    <mergeCell ref="O15:O1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45"/>
  <sheetViews>
    <sheetView topLeftCell="A10" workbookViewId="0">
      <selection activeCell="A37" sqref="A37:B45"/>
    </sheetView>
  </sheetViews>
  <sheetFormatPr defaultRowHeight="12.75"/>
  <cols>
    <col min="7" max="7" width="12.5703125" customWidth="1"/>
    <col min="8" max="8" width="12.7109375" customWidth="1"/>
    <col min="12" max="12" width="10.140625" customWidth="1"/>
    <col min="13" max="13" width="10.85546875" customWidth="1"/>
  </cols>
  <sheetData>
    <row r="1" spans="1:22" ht="15">
      <c r="A1" s="127"/>
      <c r="B1" s="127"/>
      <c r="C1" s="127"/>
      <c r="D1" s="128"/>
      <c r="E1" s="128" t="s">
        <v>112</v>
      </c>
      <c r="F1" s="160"/>
      <c r="G1" s="160"/>
      <c r="H1" s="160"/>
      <c r="I1" s="160"/>
      <c r="J1" s="160"/>
      <c r="K1" s="160"/>
      <c r="L1" s="161"/>
      <c r="M1" s="127"/>
      <c r="N1" s="162" t="s">
        <v>1</v>
      </c>
      <c r="O1" s="127"/>
      <c r="P1" s="127"/>
      <c r="Q1" s="127"/>
      <c r="R1" s="127"/>
      <c r="S1" s="127"/>
      <c r="T1" s="127"/>
      <c r="U1" s="127"/>
      <c r="V1" s="127"/>
    </row>
    <row r="2" spans="1:22" ht="15.75">
      <c r="A2" s="127"/>
      <c r="B2" s="127"/>
      <c r="C2" s="127"/>
      <c r="D2" s="159" t="s">
        <v>113</v>
      </c>
      <c r="E2" s="127"/>
      <c r="F2" s="160"/>
      <c r="G2" s="160"/>
      <c r="H2" s="160"/>
      <c r="I2" s="160"/>
      <c r="J2" s="161"/>
      <c r="K2" s="161"/>
      <c r="L2" s="161"/>
      <c r="M2" s="127"/>
      <c r="N2" s="162" t="s">
        <v>43</v>
      </c>
      <c r="O2" s="127"/>
      <c r="P2" s="127"/>
      <c r="Q2" s="127"/>
      <c r="R2" s="127"/>
      <c r="S2" s="127"/>
      <c r="T2" s="127"/>
      <c r="U2" s="127"/>
      <c r="V2" s="127"/>
    </row>
    <row r="3" spans="1:22">
      <c r="A3" s="163" t="s">
        <v>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</row>
    <row r="5" spans="1:2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22">
      <c r="A6" s="127"/>
      <c r="B6" s="192"/>
      <c r="C6" s="123" t="s">
        <v>11</v>
      </c>
      <c r="D6" s="123"/>
      <c r="E6" s="123"/>
      <c r="F6" s="123"/>
      <c r="G6" s="123"/>
      <c r="H6" s="123" t="s">
        <v>10</v>
      </c>
      <c r="I6" s="123"/>
      <c r="J6" s="123"/>
      <c r="K6" s="123"/>
      <c r="L6" s="124"/>
      <c r="M6" s="127"/>
      <c r="N6" s="127"/>
      <c r="O6" s="127"/>
      <c r="P6" s="127"/>
      <c r="Q6" s="127"/>
    </row>
    <row r="7" spans="1:22">
      <c r="A7" s="127"/>
      <c r="B7" s="193"/>
      <c r="C7" s="122"/>
      <c r="D7" s="122"/>
      <c r="E7" s="122"/>
      <c r="F7" s="122"/>
      <c r="G7" s="122"/>
      <c r="H7" s="122"/>
      <c r="I7" s="122"/>
      <c r="J7" s="122"/>
      <c r="K7" s="122"/>
      <c r="L7" s="194"/>
      <c r="M7" s="127"/>
      <c r="N7" s="127"/>
      <c r="O7" s="127"/>
      <c r="P7" s="127"/>
      <c r="Q7" s="127"/>
    </row>
    <row r="8" spans="1:22" ht="15.75">
      <c r="A8" s="127"/>
      <c r="B8" s="357" t="s">
        <v>49</v>
      </c>
      <c r="C8" s="189">
        <v>40</v>
      </c>
      <c r="D8" s="358" t="s">
        <v>22</v>
      </c>
      <c r="E8" s="189">
        <v>-2</v>
      </c>
      <c r="F8" s="359" t="s">
        <v>23</v>
      </c>
      <c r="G8" s="195"/>
      <c r="H8" s="360" t="s">
        <v>51</v>
      </c>
      <c r="I8" s="189">
        <v>-20</v>
      </c>
      <c r="J8" s="358" t="s">
        <v>22</v>
      </c>
      <c r="K8" s="189">
        <v>3</v>
      </c>
      <c r="L8" s="361" t="s">
        <v>23</v>
      </c>
      <c r="M8" s="127"/>
      <c r="N8" s="127"/>
      <c r="O8" s="127"/>
      <c r="P8" s="127"/>
      <c r="Q8" s="127"/>
    </row>
    <row r="9" spans="1:2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0" spans="1:22">
      <c r="A10" s="127"/>
      <c r="B10" s="127"/>
      <c r="C10" s="127"/>
      <c r="D10" s="127"/>
      <c r="E10" s="127" t="s">
        <v>57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</row>
    <row r="11" spans="1:22" ht="14.25">
      <c r="A11" s="127"/>
      <c r="B11" s="127"/>
      <c r="C11" s="127"/>
      <c r="D11" s="127"/>
      <c r="E11" s="196" t="s">
        <v>114</v>
      </c>
      <c r="F11" s="197">
        <f>(C8-I8)/(K8-E8)</f>
        <v>12</v>
      </c>
      <c r="G11" s="128"/>
      <c r="H11" s="196" t="s">
        <v>115</v>
      </c>
      <c r="I11" s="197">
        <f>((K8*C8)-(E8*I8))/(K8-E8)</f>
        <v>16</v>
      </c>
      <c r="J11" s="127"/>
      <c r="K11" s="127" t="s">
        <v>77</v>
      </c>
      <c r="L11" s="127"/>
      <c r="M11" s="127"/>
      <c r="N11" s="127"/>
      <c r="O11" s="127"/>
      <c r="P11" s="127"/>
      <c r="Q11" s="127"/>
    </row>
    <row r="12" spans="1:22" ht="15.75">
      <c r="A12" s="127"/>
      <c r="B12" s="127"/>
      <c r="C12" s="162" t="s">
        <v>116</v>
      </c>
      <c r="D12" s="127"/>
      <c r="E12" s="127"/>
      <c r="F12" s="127"/>
      <c r="G12" s="127"/>
      <c r="H12" s="127"/>
      <c r="I12" s="127"/>
      <c r="J12" s="127"/>
      <c r="K12" s="198" t="s">
        <v>64</v>
      </c>
      <c r="L12" s="149">
        <v>14</v>
      </c>
      <c r="M12" s="127"/>
      <c r="N12" s="162" t="s">
        <v>49</v>
      </c>
      <c r="O12" s="127">
        <f>C8+E8*L12</f>
        <v>12</v>
      </c>
      <c r="P12" s="127"/>
      <c r="Q12" s="127"/>
    </row>
    <row r="13" spans="1:22" ht="15.75">
      <c r="A13" s="127"/>
      <c r="B13" s="127"/>
      <c r="C13" s="127"/>
      <c r="D13" s="127"/>
      <c r="E13" s="128">
        <f>ABS(K8/E8)</f>
        <v>1.5</v>
      </c>
      <c r="F13" s="127"/>
      <c r="G13" s="127"/>
      <c r="H13" s="127"/>
      <c r="I13" s="127"/>
      <c r="J13" s="127"/>
      <c r="K13" s="127"/>
      <c r="L13" s="127"/>
      <c r="M13" s="127"/>
      <c r="N13" s="162" t="s">
        <v>51</v>
      </c>
      <c r="O13" s="127">
        <f>I8+K8*L12</f>
        <v>22</v>
      </c>
      <c r="P13" s="127"/>
      <c r="Q13" s="127"/>
    </row>
    <row r="14" spans="1:22" ht="15.75">
      <c r="A14" s="127"/>
      <c r="B14" s="127"/>
      <c r="C14" s="163" t="s">
        <v>117</v>
      </c>
      <c r="D14" s="127"/>
      <c r="E14" s="127"/>
      <c r="F14" s="149">
        <v>-2</v>
      </c>
      <c r="G14" s="92" t="s">
        <v>52</v>
      </c>
      <c r="H14" s="127"/>
      <c r="I14" s="127"/>
      <c r="J14" s="127"/>
      <c r="K14" s="128" t="s">
        <v>70</v>
      </c>
      <c r="L14" s="127"/>
      <c r="M14" s="362" t="s">
        <v>71</v>
      </c>
      <c r="N14" s="162" t="s">
        <v>72</v>
      </c>
      <c r="O14" s="127">
        <f>O13-O12</f>
        <v>10</v>
      </c>
      <c r="P14" s="127"/>
      <c r="Q14" s="127">
        <f>L12*O14</f>
        <v>140</v>
      </c>
    </row>
    <row r="15" spans="1:22">
      <c r="A15" s="127"/>
      <c r="B15" s="353" t="s">
        <v>118</v>
      </c>
      <c r="C15" s="82">
        <v>2</v>
      </c>
      <c r="D15" s="363" t="s">
        <v>118</v>
      </c>
      <c r="E15" s="83">
        <v>3</v>
      </c>
      <c r="F15" s="9" t="s">
        <v>118</v>
      </c>
      <c r="G15" s="84">
        <v>4</v>
      </c>
      <c r="H15" s="92" t="s">
        <v>52</v>
      </c>
      <c r="I15" s="127"/>
      <c r="J15" s="127"/>
      <c r="K15" s="127"/>
      <c r="L15" s="127"/>
      <c r="M15" s="92" t="s">
        <v>52</v>
      </c>
      <c r="N15" s="127"/>
      <c r="O15" s="127"/>
      <c r="P15" s="127"/>
      <c r="Q15" s="127"/>
    </row>
    <row r="16" spans="1:22">
      <c r="A16" s="127"/>
      <c r="B16" s="364" t="s">
        <v>119</v>
      </c>
      <c r="C16" s="7">
        <f>F14*((-1)^C15)*(K8/-E8)^C15</f>
        <v>-4.5</v>
      </c>
      <c r="D16" s="363" t="s">
        <v>119</v>
      </c>
      <c r="E16" s="8">
        <f>F14*((-1)^E15)*(K8/-E8)^E15</f>
        <v>6.75</v>
      </c>
      <c r="F16" s="9" t="s">
        <v>119</v>
      </c>
      <c r="G16" s="10">
        <f>F14*((-1)^G15)*(K8/-E8)^G15</f>
        <v>-10.125</v>
      </c>
      <c r="H16" s="127"/>
      <c r="Q16" s="24"/>
      <c r="R16" s="103"/>
      <c r="S16" s="24"/>
      <c r="T16" s="24"/>
      <c r="U16" s="24"/>
    </row>
    <row r="17" spans="1:31">
      <c r="A17" s="127"/>
      <c r="B17" s="364" t="s">
        <v>120</v>
      </c>
      <c r="C17" s="7">
        <f>F11+C16</f>
        <v>7.5</v>
      </c>
      <c r="D17" s="363" t="s">
        <v>120</v>
      </c>
      <c r="E17" s="8">
        <f>F11+E16</f>
        <v>18.75</v>
      </c>
      <c r="F17" s="9" t="s">
        <v>120</v>
      </c>
      <c r="G17" s="10">
        <f>F11+G16</f>
        <v>1.875</v>
      </c>
      <c r="H17" s="127"/>
      <c r="Q17" s="24"/>
      <c r="R17" s="103"/>
      <c r="S17" s="326" t="s">
        <v>99</v>
      </c>
      <c r="T17" s="326"/>
      <c r="U17" s="326"/>
    </row>
    <row r="18" spans="1:31">
      <c r="Q18" s="24"/>
      <c r="R18" s="103"/>
      <c r="S18" s="326" t="s">
        <v>100</v>
      </c>
      <c r="T18" s="326"/>
      <c r="U18" s="326"/>
    </row>
    <row r="19" spans="1:31">
      <c r="Q19" s="24"/>
      <c r="R19" s="103"/>
      <c r="S19" s="326" t="s">
        <v>103</v>
      </c>
      <c r="T19" s="326"/>
      <c r="U19" s="326"/>
    </row>
    <row r="20" spans="1:31">
      <c r="Q20" s="24"/>
      <c r="R20" s="103"/>
      <c r="S20" s="326" t="s">
        <v>106</v>
      </c>
      <c r="T20" s="326"/>
      <c r="U20" s="326"/>
    </row>
    <row r="21" spans="1:31">
      <c r="Q21" s="149"/>
      <c r="S21" s="327" t="s">
        <v>107</v>
      </c>
      <c r="T21" s="326"/>
      <c r="U21" s="326"/>
    </row>
    <row r="22" spans="1:31">
      <c r="T22" s="90" t="s">
        <v>121</v>
      </c>
    </row>
    <row r="23" spans="1:31">
      <c r="T23" s="90" t="s">
        <v>23</v>
      </c>
      <c r="U23">
        <f>$F$11-$F$11*1</f>
        <v>0</v>
      </c>
      <c r="V23">
        <f>$F$11-$F$11*0.8</f>
        <v>2.3999999999999986</v>
      </c>
      <c r="W23">
        <f>$F$11-$F$11*0.6</f>
        <v>4.8000000000000007</v>
      </c>
      <c r="X23">
        <f>$F$11-$F$11*0.4</f>
        <v>7.1999999999999993</v>
      </c>
      <c r="Y23">
        <f>$F$11-$F$11*0.2</f>
        <v>9.6</v>
      </c>
      <c r="Z23" s="1">
        <f>$F$11</f>
        <v>12</v>
      </c>
      <c r="AA23">
        <f>$F$11+$F$11*0.2</f>
        <v>14.4</v>
      </c>
      <c r="AB23">
        <f>$F$11+$F$11*0.4</f>
        <v>16.8</v>
      </c>
      <c r="AC23">
        <f>$F$11+$F$11*0.6</f>
        <v>19.2</v>
      </c>
      <c r="AD23">
        <f>$F$11+$F$11*0.8</f>
        <v>21.6</v>
      </c>
      <c r="AE23">
        <f>$F$11+$F$11*1</f>
        <v>24</v>
      </c>
    </row>
    <row r="24" spans="1:31">
      <c r="T24" s="90" t="s">
        <v>48</v>
      </c>
      <c r="U24">
        <f t="shared" ref="U24:AE24" si="0">$C$8+$E$8*U23</f>
        <v>40</v>
      </c>
      <c r="V24">
        <f t="shared" si="0"/>
        <v>35.200000000000003</v>
      </c>
      <c r="W24">
        <f t="shared" si="0"/>
        <v>30.4</v>
      </c>
      <c r="X24">
        <f t="shared" si="0"/>
        <v>25.6</v>
      </c>
      <c r="Y24">
        <f t="shared" si="0"/>
        <v>20.8</v>
      </c>
      <c r="Z24" s="1">
        <f t="shared" si="0"/>
        <v>16</v>
      </c>
      <c r="AA24">
        <f t="shared" si="0"/>
        <v>11.2</v>
      </c>
      <c r="AB24">
        <f t="shared" si="0"/>
        <v>6.3999999999999986</v>
      </c>
      <c r="AC24">
        <f t="shared" si="0"/>
        <v>1.6000000000000014</v>
      </c>
      <c r="AD24">
        <f t="shared" si="0"/>
        <v>-3.2000000000000028</v>
      </c>
      <c r="AE24">
        <f t="shared" si="0"/>
        <v>-8</v>
      </c>
    </row>
    <row r="26" spans="1:31">
      <c r="T26" s="90" t="s">
        <v>121</v>
      </c>
    </row>
    <row r="27" spans="1:31">
      <c r="T27" s="90" t="s">
        <v>23</v>
      </c>
      <c r="U27">
        <f>$F$11-$F$11*1</f>
        <v>0</v>
      </c>
      <c r="V27">
        <f>$F$11-$F$11*0.8</f>
        <v>2.3999999999999986</v>
      </c>
      <c r="W27">
        <f>$F$11-$F$11*0.6</f>
        <v>4.8000000000000007</v>
      </c>
      <c r="X27">
        <f>$F$11-$F$11*0.4</f>
        <v>7.1999999999999993</v>
      </c>
      <c r="Y27">
        <f>$F$11-$F$11*0.2</f>
        <v>9.6</v>
      </c>
      <c r="Z27" s="1">
        <f>$F$11</f>
        <v>12</v>
      </c>
      <c r="AA27">
        <f>$F$11+$F$11*0.2</f>
        <v>14.4</v>
      </c>
      <c r="AB27">
        <f>$F$11+$F$11*0.4</f>
        <v>16.8</v>
      </c>
      <c r="AC27">
        <f>$F$11+$F$11*0.6</f>
        <v>19.2</v>
      </c>
      <c r="AD27">
        <f>$F$11+$F$11*0.8</f>
        <v>21.6</v>
      </c>
      <c r="AE27">
        <f>$F$11+$F$11*0.8</f>
        <v>21.6</v>
      </c>
    </row>
    <row r="28" spans="1:31">
      <c r="T28" s="90" t="s">
        <v>62</v>
      </c>
      <c r="U28" s="90">
        <f t="shared" ref="U28:AE28" si="1">$I$8+$K$8*U27</f>
        <v>-20</v>
      </c>
      <c r="V28" s="90">
        <f t="shared" si="1"/>
        <v>-12.800000000000004</v>
      </c>
      <c r="W28" s="90">
        <f t="shared" si="1"/>
        <v>-5.5999999999999979</v>
      </c>
      <c r="X28" s="90">
        <f t="shared" si="1"/>
        <v>1.5999999999999979</v>
      </c>
      <c r="Y28" s="90">
        <f t="shared" si="1"/>
        <v>8.7999999999999972</v>
      </c>
      <c r="Z28" s="1">
        <f t="shared" si="1"/>
        <v>16</v>
      </c>
      <c r="AA28" s="90">
        <f t="shared" si="1"/>
        <v>23.200000000000003</v>
      </c>
      <c r="AB28" s="90">
        <f t="shared" si="1"/>
        <v>30.400000000000006</v>
      </c>
      <c r="AC28" s="90">
        <f t="shared" si="1"/>
        <v>37.599999999999994</v>
      </c>
      <c r="AD28" s="90">
        <f t="shared" si="1"/>
        <v>44.800000000000011</v>
      </c>
      <c r="AE28" s="90">
        <f t="shared" si="1"/>
        <v>44.800000000000011</v>
      </c>
    </row>
    <row r="30" spans="1:31">
      <c r="T30" s="90" t="s">
        <v>67</v>
      </c>
      <c r="U30">
        <f>$F$11-$F$11*1</f>
        <v>0</v>
      </c>
      <c r="V30">
        <f>$F$11-$F$11*0.8</f>
        <v>2.3999999999999986</v>
      </c>
      <c r="W30">
        <f>$F$11-$F$11*0.6</f>
        <v>4.8000000000000007</v>
      </c>
      <c r="X30">
        <f>$F$11-$F$11*0.4</f>
        <v>7.1999999999999993</v>
      </c>
      <c r="Y30">
        <f>$F$11-$F$11*0.2</f>
        <v>9.6</v>
      </c>
      <c r="Z30" s="1">
        <f>$F$11</f>
        <v>12</v>
      </c>
    </row>
    <row r="31" spans="1:31">
      <c r="U31">
        <f t="shared" ref="U31:Z31" si="2">$I$11</f>
        <v>16</v>
      </c>
      <c r="V31">
        <f t="shared" si="2"/>
        <v>16</v>
      </c>
      <c r="W31">
        <f t="shared" si="2"/>
        <v>16</v>
      </c>
      <c r="X31">
        <f t="shared" si="2"/>
        <v>16</v>
      </c>
      <c r="Y31">
        <f t="shared" si="2"/>
        <v>16</v>
      </c>
      <c r="Z31">
        <f t="shared" si="2"/>
        <v>16</v>
      </c>
    </row>
    <row r="32" spans="1:31">
      <c r="T32" s="90" t="s">
        <v>122</v>
      </c>
      <c r="U32">
        <f>$I$11-$I$11*1</f>
        <v>0</v>
      </c>
      <c r="V32">
        <f>$I$11-$I$11*0.8</f>
        <v>3.1999999999999993</v>
      </c>
      <c r="W32">
        <f>$I$11-$I$11*0.6</f>
        <v>6.4</v>
      </c>
      <c r="X32">
        <f>$I$11-$I$11*0.4</f>
        <v>9.6</v>
      </c>
      <c r="Y32">
        <f>$I$11-$I$11*0.2</f>
        <v>12.8</v>
      </c>
      <c r="Z32">
        <f>I11</f>
        <v>16</v>
      </c>
    </row>
    <row r="33" spans="1:29">
      <c r="U33">
        <f t="shared" ref="U33:Z33" si="3">$F$11</f>
        <v>12</v>
      </c>
      <c r="V33">
        <f t="shared" si="3"/>
        <v>12</v>
      </c>
      <c r="W33">
        <f t="shared" si="3"/>
        <v>12</v>
      </c>
      <c r="X33">
        <f t="shared" si="3"/>
        <v>12</v>
      </c>
      <c r="Y33">
        <f t="shared" si="3"/>
        <v>12</v>
      </c>
      <c r="Z33">
        <f t="shared" si="3"/>
        <v>12</v>
      </c>
    </row>
    <row r="35" spans="1:29">
      <c r="T35">
        <f>C8+E8*T36</f>
        <v>25</v>
      </c>
      <c r="U35">
        <f>I8+K8*U36</f>
        <v>2.5</v>
      </c>
      <c r="V35">
        <f>I8+K8*U36</f>
        <v>2.5</v>
      </c>
      <c r="W35">
        <f>C8+E8*X36</f>
        <v>2.5</v>
      </c>
      <c r="X35">
        <f>C8+E8*X36</f>
        <v>2.5</v>
      </c>
      <c r="Y35">
        <f>I8+K8*Y36</f>
        <v>36.25</v>
      </c>
      <c r="Z35">
        <f>I8+K8*Y36</f>
        <v>36.25</v>
      </c>
      <c r="AA35">
        <f>C8+E8*AB36</f>
        <v>36.25</v>
      </c>
      <c r="AB35">
        <f>C8+E8*AB36</f>
        <v>36.25</v>
      </c>
      <c r="AC35">
        <f>I8+K8*AC36</f>
        <v>-14.375</v>
      </c>
    </row>
    <row r="36" spans="1:29">
      <c r="T36" s="11">
        <f>C17</f>
        <v>7.5</v>
      </c>
      <c r="U36" s="11">
        <f>C17</f>
        <v>7.5</v>
      </c>
      <c r="V36" s="13">
        <f>C17</f>
        <v>7.5</v>
      </c>
      <c r="W36" s="14">
        <f>E17</f>
        <v>18.75</v>
      </c>
      <c r="X36" s="8">
        <f>E17</f>
        <v>18.75</v>
      </c>
      <c r="Y36" s="8">
        <f>E17</f>
        <v>18.75</v>
      </c>
      <c r="Z36" s="15">
        <f>E17</f>
        <v>18.75</v>
      </c>
      <c r="AA36" s="15">
        <f>G17</f>
        <v>1.875</v>
      </c>
      <c r="AB36" s="12">
        <f>G17</f>
        <v>1.875</v>
      </c>
      <c r="AC36" s="12">
        <f>G17</f>
        <v>1.875</v>
      </c>
    </row>
    <row r="37" spans="1:29">
      <c r="A37" s="430" t="s">
        <v>518</v>
      </c>
      <c r="B37" s="103"/>
    </row>
    <row r="38" spans="1:29">
      <c r="A38" s="431" t="s">
        <v>510</v>
      </c>
      <c r="B38" s="432"/>
    </row>
    <row r="39" spans="1:29">
      <c r="A39" s="431" t="s">
        <v>511</v>
      </c>
      <c r="B39" s="432"/>
    </row>
    <row r="40" spans="1:29">
      <c r="A40" s="431" t="s">
        <v>512</v>
      </c>
      <c r="B40" s="432"/>
    </row>
    <row r="41" spans="1:29">
      <c r="A41" s="431" t="s">
        <v>513</v>
      </c>
      <c r="B41" s="432"/>
    </row>
    <row r="42" spans="1:29">
      <c r="A42" s="431" t="s">
        <v>514</v>
      </c>
      <c r="B42" s="432"/>
    </row>
    <row r="43" spans="1:29">
      <c r="A43" s="431" t="s">
        <v>515</v>
      </c>
      <c r="B43" s="431"/>
    </row>
    <row r="44" spans="1:29">
      <c r="A44" s="431" t="s">
        <v>516</v>
      </c>
      <c r="B44" s="431"/>
    </row>
    <row r="45" spans="1:29">
      <c r="A45" s="431" t="s">
        <v>517</v>
      </c>
      <c r="B45" s="431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83"/>
  <sheetViews>
    <sheetView zoomScale="80" zoomScaleNormal="80" workbookViewId="0">
      <selection activeCell="P24" sqref="P24"/>
    </sheetView>
  </sheetViews>
  <sheetFormatPr defaultRowHeight="12.75"/>
  <cols>
    <col min="1" max="1" width="13" customWidth="1"/>
    <col min="2" max="2" width="6.5703125" customWidth="1"/>
    <col min="3" max="3" width="8.5703125" customWidth="1"/>
    <col min="4" max="4" width="6.85546875" customWidth="1"/>
    <col min="5" max="5" width="9.28515625" customWidth="1"/>
    <col min="7" max="7" width="13.140625" customWidth="1"/>
    <col min="8" max="8" width="8.7109375" customWidth="1"/>
    <col min="9" max="9" width="12.28515625" customWidth="1"/>
    <col min="10" max="10" width="7.28515625" customWidth="1"/>
    <col min="11" max="11" width="10.28515625" customWidth="1"/>
    <col min="16" max="16" width="12.85546875" customWidth="1"/>
    <col min="19" max="19" width="9.28515625" bestFit="1" customWidth="1"/>
    <col min="24" max="24" width="13.28515625" customWidth="1"/>
  </cols>
  <sheetData>
    <row r="1" spans="1:60" ht="15">
      <c r="F1" s="103"/>
      <c r="G1" s="103"/>
      <c r="H1" s="103"/>
      <c r="I1" s="129"/>
      <c r="J1" s="129" t="s">
        <v>112</v>
      </c>
      <c r="K1" s="151"/>
      <c r="L1" s="151"/>
      <c r="M1" s="151"/>
      <c r="N1" s="151"/>
      <c r="O1" s="151"/>
      <c r="P1" s="151"/>
      <c r="Q1" s="152"/>
      <c r="R1" s="103"/>
      <c r="S1" s="102" t="s">
        <v>1</v>
      </c>
      <c r="T1" s="103"/>
      <c r="U1" s="103"/>
      <c r="V1" s="103"/>
      <c r="W1" s="103"/>
      <c r="X1" s="103"/>
      <c r="Y1" s="103"/>
      <c r="Z1" s="103"/>
      <c r="AA1" s="103"/>
    </row>
    <row r="2" spans="1:60" ht="15.75">
      <c r="F2" s="103"/>
      <c r="G2" s="103"/>
      <c r="H2" s="103"/>
      <c r="I2" s="153" t="s">
        <v>334</v>
      </c>
      <c r="J2" s="103"/>
      <c r="K2" s="151"/>
      <c r="L2" s="151"/>
      <c r="M2" s="151"/>
      <c r="N2" s="151"/>
      <c r="O2" s="152"/>
      <c r="P2" s="152"/>
      <c r="Q2" s="152"/>
      <c r="R2" s="103"/>
      <c r="S2" s="102" t="s">
        <v>43</v>
      </c>
      <c r="T2" s="103"/>
      <c r="U2" s="103"/>
      <c r="V2" s="103"/>
      <c r="W2" s="103"/>
      <c r="X2" s="103"/>
      <c r="Y2" s="103"/>
      <c r="Z2" s="103"/>
      <c r="AA2" s="103"/>
      <c r="AW2" s="90" t="s">
        <v>6</v>
      </c>
    </row>
    <row r="3" spans="1:60">
      <c r="F3" s="154" t="s">
        <v>5</v>
      </c>
      <c r="G3" s="103"/>
      <c r="H3" s="103"/>
      <c r="I3" s="103"/>
      <c r="J3" s="129" t="s">
        <v>335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W3" s="90" t="s">
        <v>414</v>
      </c>
    </row>
    <row r="4" spans="1:60">
      <c r="AW4" t="s">
        <v>123</v>
      </c>
      <c r="AX4">
        <v>0</v>
      </c>
      <c r="AY4" t="s">
        <v>120</v>
      </c>
      <c r="AZ4">
        <f>C8/-E8</f>
        <v>200</v>
      </c>
    </row>
    <row r="5" spans="1:60" ht="15.75">
      <c r="A5" s="102" t="s">
        <v>6</v>
      </c>
      <c r="B5" s="103"/>
      <c r="C5" s="102" t="s">
        <v>336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24"/>
      <c r="P5" s="231" t="s">
        <v>356</v>
      </c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6"/>
      <c r="AC5" s="24"/>
      <c r="AD5" s="103"/>
      <c r="AE5" s="102" t="s">
        <v>364</v>
      </c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W5" t="s">
        <v>123</v>
      </c>
      <c r="AX5">
        <f>C8</f>
        <v>50</v>
      </c>
      <c r="AY5" t="s">
        <v>120</v>
      </c>
      <c r="AZ5">
        <v>0</v>
      </c>
    </row>
    <row r="6" spans="1:60">
      <c r="A6" s="103"/>
      <c r="B6" s="201" t="s">
        <v>11</v>
      </c>
      <c r="C6" s="105"/>
      <c r="D6" s="105"/>
      <c r="E6" s="105"/>
      <c r="F6" s="105"/>
      <c r="G6" s="106"/>
      <c r="H6" s="103"/>
      <c r="I6" s="104" t="s">
        <v>11</v>
      </c>
      <c r="J6" s="105"/>
      <c r="K6" s="105"/>
      <c r="L6" s="105"/>
      <c r="M6" s="105"/>
      <c r="N6" s="106"/>
      <c r="O6" s="24"/>
      <c r="P6" s="107"/>
      <c r="Q6" s="339" t="s">
        <v>357</v>
      </c>
      <c r="R6" s="108"/>
      <c r="S6" s="108"/>
      <c r="T6" s="108"/>
      <c r="U6" s="108"/>
      <c r="V6" s="108"/>
      <c r="W6" s="108"/>
      <c r="X6" s="339" t="s">
        <v>359</v>
      </c>
      <c r="Y6" s="108"/>
      <c r="Z6" s="108"/>
      <c r="AA6" s="108">
        <v>-3</v>
      </c>
      <c r="AB6" s="109"/>
      <c r="AC6" s="31"/>
      <c r="AD6" s="103"/>
      <c r="AE6" s="104" t="s">
        <v>10</v>
      </c>
      <c r="AF6" s="105"/>
      <c r="AG6" s="105"/>
      <c r="AH6" s="105"/>
      <c r="AI6" s="105"/>
      <c r="AJ6" s="106"/>
      <c r="AK6" s="103"/>
      <c r="AL6" s="104" t="s">
        <v>10</v>
      </c>
      <c r="AM6" s="105"/>
      <c r="AN6" s="105"/>
      <c r="AO6" s="105"/>
      <c r="AP6" s="105"/>
      <c r="AQ6" s="106"/>
      <c r="AR6" s="103"/>
      <c r="AW6" s="90" t="s">
        <v>415</v>
      </c>
    </row>
    <row r="7" spans="1:60" ht="15.75">
      <c r="A7" s="103"/>
      <c r="B7" s="107"/>
      <c r="C7" s="108"/>
      <c r="D7" s="108"/>
      <c r="E7" s="108"/>
      <c r="F7" s="108"/>
      <c r="G7" s="109"/>
      <c r="H7" s="103"/>
      <c r="I7" s="107"/>
      <c r="J7" s="108"/>
      <c r="K7" s="339" t="s">
        <v>341</v>
      </c>
      <c r="L7" s="108"/>
      <c r="M7" s="339" t="s">
        <v>342</v>
      </c>
      <c r="N7" s="109"/>
      <c r="O7" s="24"/>
      <c r="P7" s="92" t="s">
        <v>338</v>
      </c>
      <c r="Q7" s="340" t="s">
        <v>49</v>
      </c>
      <c r="R7" s="188">
        <v>18</v>
      </c>
      <c r="S7" s="338" t="s">
        <v>22</v>
      </c>
      <c r="T7" s="188">
        <v>-4</v>
      </c>
      <c r="U7" s="339" t="s">
        <v>23</v>
      </c>
      <c r="V7" s="108"/>
      <c r="W7" s="108"/>
      <c r="X7" s="340" t="s">
        <v>49</v>
      </c>
      <c r="Y7" s="188">
        <v>18</v>
      </c>
      <c r="Z7" s="338" t="s">
        <v>22</v>
      </c>
      <c r="AA7" s="188">
        <v>-4</v>
      </c>
      <c r="AB7" s="341" t="s">
        <v>23</v>
      </c>
      <c r="AC7" s="31"/>
      <c r="AD7" s="103"/>
      <c r="AE7" s="107"/>
      <c r="AF7" s="108"/>
      <c r="AG7" s="108"/>
      <c r="AH7" s="108"/>
      <c r="AI7" s="108"/>
      <c r="AJ7" s="109"/>
      <c r="AK7" s="103"/>
      <c r="AL7" s="107"/>
      <c r="AM7" s="108"/>
      <c r="AN7" s="339" t="s">
        <v>341</v>
      </c>
      <c r="AO7" s="108"/>
      <c r="AP7" s="339" t="s">
        <v>342</v>
      </c>
      <c r="AQ7" s="109"/>
      <c r="AR7" s="103"/>
      <c r="AW7" t="s">
        <v>64</v>
      </c>
      <c r="AX7">
        <f>AZ5</f>
        <v>0</v>
      </c>
      <c r="AY7">
        <f>$AZ$5+$AZ$4*0.1</f>
        <v>20</v>
      </c>
      <c r="AZ7">
        <f>$AZ$5+$AZ$4*0.2</f>
        <v>40</v>
      </c>
      <c r="BA7">
        <f>$AZ$5+$AZ$4*0.3</f>
        <v>60</v>
      </c>
      <c r="BB7">
        <f>$AZ$5+$AZ$4*0.4</f>
        <v>80</v>
      </c>
      <c r="BC7">
        <f>$AZ$5+$AZ$4*0.5</f>
        <v>100</v>
      </c>
      <c r="BD7">
        <f>$AZ$5+$AZ$4*0.6</f>
        <v>120</v>
      </c>
      <c r="BE7">
        <f>$AZ$5+$AZ$4*0.7</f>
        <v>140</v>
      </c>
      <c r="BF7">
        <f>$AZ$5+$AZ$4*0.8</f>
        <v>160</v>
      </c>
      <c r="BG7">
        <f>$AZ$5+$AZ$4*0.9</f>
        <v>180</v>
      </c>
      <c r="BH7">
        <f>$AZ$5+$AZ$4*1</f>
        <v>200</v>
      </c>
    </row>
    <row r="8" spans="1:60" ht="15.75">
      <c r="A8" s="92" t="s">
        <v>338</v>
      </c>
      <c r="B8" s="337" t="s">
        <v>126</v>
      </c>
      <c r="C8" s="29">
        <v>50</v>
      </c>
      <c r="D8" s="110" t="s">
        <v>22</v>
      </c>
      <c r="E8" s="188">
        <v>-0.25</v>
      </c>
      <c r="F8" s="108" t="s">
        <v>23</v>
      </c>
      <c r="G8" s="109"/>
      <c r="H8" s="103"/>
      <c r="I8" s="92" t="s">
        <v>7</v>
      </c>
      <c r="J8" s="108"/>
      <c r="K8" s="188">
        <v>150</v>
      </c>
      <c r="L8" s="108"/>
      <c r="M8" s="188">
        <v>116.66</v>
      </c>
      <c r="N8" s="109"/>
      <c r="O8" s="24"/>
      <c r="P8" s="107"/>
      <c r="Q8" s="339" t="s">
        <v>358</v>
      </c>
      <c r="R8" s="108"/>
      <c r="S8" s="108"/>
      <c r="T8" s="108"/>
      <c r="U8" s="108"/>
      <c r="V8" s="108"/>
      <c r="W8" s="108"/>
      <c r="X8" s="340" t="s">
        <v>49</v>
      </c>
      <c r="Y8" s="188">
        <v>20</v>
      </c>
      <c r="Z8" s="338" t="s">
        <v>22</v>
      </c>
      <c r="AA8" s="188">
        <v>-4</v>
      </c>
      <c r="AB8" s="341" t="s">
        <v>23</v>
      </c>
      <c r="AC8" s="31"/>
      <c r="AD8" s="103"/>
      <c r="AE8" s="337" t="s">
        <v>126</v>
      </c>
      <c r="AF8" s="199">
        <v>6</v>
      </c>
      <c r="AG8" s="110" t="s">
        <v>22</v>
      </c>
      <c r="AH8" s="188">
        <v>-3</v>
      </c>
      <c r="AI8" s="108" t="s">
        <v>23</v>
      </c>
      <c r="AJ8" s="109"/>
      <c r="AK8" s="103"/>
      <c r="AL8" s="107"/>
      <c r="AM8" s="108"/>
      <c r="AN8" s="188">
        <v>50</v>
      </c>
      <c r="AO8" s="108"/>
      <c r="AP8" s="188">
        <v>40</v>
      </c>
      <c r="AQ8" s="109"/>
      <c r="AR8" s="103"/>
      <c r="AW8" t="s">
        <v>102</v>
      </c>
      <c r="AX8">
        <f t="shared" ref="AX8:BH8" si="0">$C$8+$E$8*AX7</f>
        <v>50</v>
      </c>
      <c r="AY8">
        <f t="shared" si="0"/>
        <v>45</v>
      </c>
      <c r="AZ8">
        <f t="shared" si="0"/>
        <v>40</v>
      </c>
      <c r="BA8">
        <f t="shared" si="0"/>
        <v>35</v>
      </c>
      <c r="BB8">
        <f t="shared" si="0"/>
        <v>30</v>
      </c>
      <c r="BC8">
        <f t="shared" si="0"/>
        <v>25</v>
      </c>
      <c r="BD8">
        <f t="shared" si="0"/>
        <v>20</v>
      </c>
      <c r="BE8">
        <f t="shared" si="0"/>
        <v>15</v>
      </c>
      <c r="BF8">
        <f t="shared" si="0"/>
        <v>10</v>
      </c>
      <c r="BG8">
        <f t="shared" si="0"/>
        <v>5</v>
      </c>
      <c r="BH8">
        <f t="shared" si="0"/>
        <v>0</v>
      </c>
    </row>
    <row r="9" spans="1:60" ht="15.75">
      <c r="A9" s="103"/>
      <c r="B9" s="107"/>
      <c r="C9" s="108"/>
      <c r="D9" s="108"/>
      <c r="E9" s="108"/>
      <c r="F9" s="108"/>
      <c r="G9" s="109"/>
      <c r="H9" s="103"/>
      <c r="I9" s="107"/>
      <c r="J9" s="108"/>
      <c r="K9" s="340" t="s">
        <v>343</v>
      </c>
      <c r="L9" s="339"/>
      <c r="M9" s="340" t="s">
        <v>344</v>
      </c>
      <c r="N9" s="109"/>
      <c r="O9" s="24"/>
      <c r="P9" s="107"/>
      <c r="Q9" s="340" t="s">
        <v>127</v>
      </c>
      <c r="R9" s="188">
        <v>-3</v>
      </c>
      <c r="S9" s="338" t="s">
        <v>22</v>
      </c>
      <c r="T9" s="188">
        <v>3</v>
      </c>
      <c r="U9" s="339" t="s">
        <v>23</v>
      </c>
      <c r="V9" s="108"/>
      <c r="W9" s="108"/>
      <c r="X9" s="339" t="s">
        <v>360</v>
      </c>
      <c r="Y9" s="108"/>
      <c r="Z9" s="108"/>
      <c r="AA9" s="108"/>
      <c r="AB9" s="109"/>
      <c r="AC9" s="24"/>
      <c r="AD9" s="103"/>
      <c r="AE9" s="107"/>
      <c r="AF9" s="108"/>
      <c r="AG9" s="108"/>
      <c r="AH9" s="108"/>
      <c r="AI9" s="108"/>
      <c r="AJ9" s="109"/>
      <c r="AK9" s="103"/>
      <c r="AL9" s="107"/>
      <c r="AM9" s="108"/>
      <c r="AN9" s="340" t="s">
        <v>343</v>
      </c>
      <c r="AO9" s="339"/>
      <c r="AP9" s="340" t="s">
        <v>344</v>
      </c>
      <c r="AQ9" s="109"/>
      <c r="AR9" s="103"/>
      <c r="AW9" s="90" t="s">
        <v>416</v>
      </c>
    </row>
    <row r="10" spans="1:60" ht="15.75">
      <c r="A10" s="103"/>
      <c r="B10" s="107"/>
      <c r="C10" s="339" t="s">
        <v>124</v>
      </c>
      <c r="D10" s="108"/>
      <c r="E10" s="339" t="s">
        <v>125</v>
      </c>
      <c r="F10" s="108"/>
      <c r="G10" s="109"/>
      <c r="H10" s="103"/>
      <c r="I10" s="107"/>
      <c r="J10" s="108"/>
      <c r="K10" s="365">
        <v>12.5</v>
      </c>
      <c r="L10" s="339"/>
      <c r="M10" s="365">
        <v>20.83</v>
      </c>
      <c r="N10" s="109"/>
      <c r="O10" s="24"/>
      <c r="P10" s="107"/>
      <c r="Q10" s="340" t="s">
        <v>128</v>
      </c>
      <c r="R10" s="188">
        <v>-4</v>
      </c>
      <c r="S10" s="338" t="s">
        <v>22</v>
      </c>
      <c r="T10" s="188">
        <v>3</v>
      </c>
      <c r="U10" s="339" t="s">
        <v>23</v>
      </c>
      <c r="V10" s="108"/>
      <c r="W10" s="108"/>
      <c r="X10" s="340" t="s">
        <v>51</v>
      </c>
      <c r="Y10" s="365">
        <v>-3</v>
      </c>
      <c r="Z10" s="338" t="s">
        <v>22</v>
      </c>
      <c r="AA10" s="188">
        <v>3</v>
      </c>
      <c r="AB10" s="341" t="s">
        <v>23</v>
      </c>
      <c r="AC10" s="24"/>
      <c r="AD10" s="103"/>
      <c r="AE10" s="107"/>
      <c r="AF10" s="339" t="s">
        <v>124</v>
      </c>
      <c r="AG10" s="108"/>
      <c r="AH10" s="339" t="s">
        <v>125</v>
      </c>
      <c r="AI10" s="108"/>
      <c r="AJ10" s="109"/>
      <c r="AK10" s="103"/>
      <c r="AL10" s="107"/>
      <c r="AM10" s="108"/>
      <c r="AN10" s="365">
        <v>2000</v>
      </c>
      <c r="AO10" s="339"/>
      <c r="AP10" s="365">
        <v>3000</v>
      </c>
      <c r="AQ10" s="109"/>
      <c r="AR10" s="103"/>
      <c r="AW10" t="s">
        <v>129</v>
      </c>
      <c r="AX10">
        <f t="shared" ref="AX10:BH10" si="1">$C$8+$E$8*AX7</f>
        <v>50</v>
      </c>
      <c r="AY10">
        <f t="shared" si="1"/>
        <v>45</v>
      </c>
      <c r="AZ10">
        <f t="shared" si="1"/>
        <v>40</v>
      </c>
      <c r="BA10">
        <f t="shared" si="1"/>
        <v>35</v>
      </c>
      <c r="BB10">
        <f t="shared" si="1"/>
        <v>30</v>
      </c>
      <c r="BC10">
        <f t="shared" si="1"/>
        <v>25</v>
      </c>
      <c r="BD10">
        <f t="shared" si="1"/>
        <v>20</v>
      </c>
      <c r="BE10">
        <f t="shared" si="1"/>
        <v>15</v>
      </c>
      <c r="BF10">
        <f t="shared" si="1"/>
        <v>10</v>
      </c>
      <c r="BG10">
        <f t="shared" si="1"/>
        <v>5</v>
      </c>
      <c r="BH10">
        <f t="shared" si="1"/>
        <v>0</v>
      </c>
    </row>
    <row r="11" spans="1:60">
      <c r="A11" s="103"/>
      <c r="B11" s="107"/>
      <c r="C11" s="200">
        <v>150</v>
      </c>
      <c r="D11" s="111"/>
      <c r="E11" s="200">
        <v>116.66742668039716</v>
      </c>
      <c r="F11" s="108"/>
      <c r="G11" s="109"/>
      <c r="H11" s="103"/>
      <c r="I11" s="107"/>
      <c r="J11" s="108"/>
      <c r="K11" s="108"/>
      <c r="L11" s="108"/>
      <c r="M11" s="108"/>
      <c r="N11" s="109"/>
      <c r="O11" s="24"/>
      <c r="P11" s="165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3"/>
      <c r="AC11" s="24"/>
      <c r="AD11" s="103"/>
      <c r="AE11" s="107"/>
      <c r="AF11" s="188">
        <v>3</v>
      </c>
      <c r="AG11" s="108"/>
      <c r="AH11" s="188">
        <v>6</v>
      </c>
      <c r="AI11" s="108"/>
      <c r="AJ11" s="109"/>
      <c r="AK11" s="103"/>
      <c r="AL11" s="107"/>
      <c r="AM11" s="108"/>
      <c r="AN11" s="108"/>
      <c r="AO11" s="108"/>
      <c r="AP11" s="108"/>
      <c r="AQ11" s="109"/>
      <c r="AR11" s="103"/>
      <c r="AW11" t="s">
        <v>130</v>
      </c>
      <c r="AX11">
        <f>$E$8*(AX7/-$AX$10)</f>
        <v>0</v>
      </c>
      <c r="AY11" s="34">
        <f t="shared" ref="AY11:BH11" si="2">$E$8*(AY7/-AY10)</f>
        <v>0.1111111111111111</v>
      </c>
      <c r="AZ11" s="34">
        <f t="shared" si="2"/>
        <v>0.25</v>
      </c>
      <c r="BA11" s="34">
        <f t="shared" si="2"/>
        <v>0.42857142857142855</v>
      </c>
      <c r="BB11" s="34">
        <f t="shared" si="2"/>
        <v>0.66666666666666663</v>
      </c>
      <c r="BC11" s="34">
        <f t="shared" si="2"/>
        <v>1</v>
      </c>
      <c r="BD11" s="34">
        <f t="shared" si="2"/>
        <v>1.5</v>
      </c>
      <c r="BE11" s="34">
        <f t="shared" si="2"/>
        <v>2.3333333333333335</v>
      </c>
      <c r="BF11" s="34">
        <f t="shared" si="2"/>
        <v>4</v>
      </c>
      <c r="BG11" s="34">
        <f t="shared" si="2"/>
        <v>9</v>
      </c>
      <c r="BH11" t="e">
        <f t="shared" si="2"/>
        <v>#DIV/0!</v>
      </c>
    </row>
    <row r="12" spans="1:60" ht="15.75">
      <c r="A12" s="103"/>
      <c r="B12" s="366" t="s">
        <v>131</v>
      </c>
      <c r="C12" s="367">
        <f>C8+E8*C11</f>
        <v>12.5</v>
      </c>
      <c r="D12" s="368" t="s">
        <v>132</v>
      </c>
      <c r="E12" s="367">
        <f>C8+E8*E11</f>
        <v>20.833143329900711</v>
      </c>
      <c r="F12" s="112"/>
      <c r="G12" s="113"/>
      <c r="H12" s="103"/>
      <c r="I12" s="343" t="s">
        <v>126</v>
      </c>
      <c r="J12" s="114">
        <f>-(M10-K10)/(M8-K8)*K8+K10</f>
        <v>49.977504499100171</v>
      </c>
      <c r="K12" s="115" t="s">
        <v>22</v>
      </c>
      <c r="L12" s="369">
        <f>(M10-K10)/(M8-K8)</f>
        <v>-0.24985002999400113</v>
      </c>
      <c r="M12" s="114" t="s">
        <v>23</v>
      </c>
      <c r="N12" s="113"/>
      <c r="O12" s="24"/>
      <c r="P12" s="102" t="s">
        <v>361</v>
      </c>
      <c r="Q12" s="103"/>
      <c r="R12" s="103"/>
      <c r="S12" s="103"/>
      <c r="T12" s="103"/>
      <c r="U12" s="103"/>
      <c r="V12" s="103"/>
      <c r="W12" s="102" t="s">
        <v>361</v>
      </c>
      <c r="X12" s="103"/>
      <c r="Y12" s="103"/>
      <c r="Z12" s="103"/>
      <c r="AA12" s="103"/>
      <c r="AB12" s="103"/>
      <c r="AC12" s="24"/>
      <c r="AD12" s="103"/>
      <c r="AE12" s="366" t="s">
        <v>131</v>
      </c>
      <c r="AF12" s="370">
        <f>(AF11-AF8)/(-2)</f>
        <v>1.5</v>
      </c>
      <c r="AG12" s="371" t="s">
        <v>132</v>
      </c>
      <c r="AH12" s="370">
        <f>(AH11-AF8)/(-2)</f>
        <v>0</v>
      </c>
      <c r="AI12" s="112"/>
      <c r="AJ12" s="113"/>
      <c r="AK12" s="103"/>
      <c r="AL12" s="343" t="s">
        <v>126</v>
      </c>
      <c r="AM12" s="114">
        <f>-(AP10-AN10)/(AP8-AN8)*AN8+AN10</f>
        <v>7000</v>
      </c>
      <c r="AN12" s="115" t="s">
        <v>22</v>
      </c>
      <c r="AO12" s="369">
        <f>(AP10-AN10)/(AP8-AN8)</f>
        <v>-100</v>
      </c>
      <c r="AP12" s="114" t="s">
        <v>23</v>
      </c>
      <c r="AQ12" s="113"/>
      <c r="AR12" s="103"/>
    </row>
    <row r="13" spans="1:60" ht="15.75">
      <c r="A13" s="103"/>
      <c r="B13" s="102" t="s">
        <v>133</v>
      </c>
      <c r="C13" s="116">
        <f>C11*C12</f>
        <v>1875</v>
      </c>
      <c r="D13" s="372" t="s">
        <v>134</v>
      </c>
      <c r="E13" s="116">
        <f>E11*E12</f>
        <v>2430.5492219633961</v>
      </c>
      <c r="F13" s="117" t="s">
        <v>135</v>
      </c>
      <c r="G13" s="116">
        <f>E13-C13</f>
        <v>555.54922196339612</v>
      </c>
      <c r="H13" s="103"/>
      <c r="I13" s="103"/>
      <c r="J13" s="103"/>
      <c r="K13" s="103"/>
      <c r="L13" s="103"/>
      <c r="M13" s="103"/>
      <c r="N13" s="103"/>
      <c r="O13" s="24"/>
      <c r="P13" s="166" t="s">
        <v>60</v>
      </c>
      <c r="Q13" s="117">
        <f>(R7-R9)/(T9-T7)</f>
        <v>3</v>
      </c>
      <c r="R13" s="202" t="s">
        <v>61</v>
      </c>
      <c r="S13" s="117">
        <f>((T9*R7)-(T7*R9))/(T9-T7)</f>
        <v>6</v>
      </c>
      <c r="T13" s="116"/>
      <c r="U13" s="116"/>
      <c r="V13" s="116"/>
      <c r="W13" s="202" t="s">
        <v>60</v>
      </c>
      <c r="X13" s="117">
        <f>(Y7-Y10)/(AA10-AA7)</f>
        <v>3</v>
      </c>
      <c r="Y13" s="202" t="s">
        <v>61</v>
      </c>
      <c r="Z13" s="117">
        <f>((AA10*Y7)-(AA7*Y10))/(AA10-AA7)</f>
        <v>6</v>
      </c>
      <c r="AA13" s="103"/>
      <c r="AB13" s="103"/>
      <c r="AC13" s="24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W13" t="s">
        <v>136</v>
      </c>
    </row>
    <row r="14" spans="1:60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24"/>
      <c r="P14" s="373" t="s">
        <v>137</v>
      </c>
      <c r="Q14" s="374">
        <f>R7+T7*Q13</f>
        <v>6</v>
      </c>
      <c r="R14" s="375" t="s">
        <v>138</v>
      </c>
      <c r="S14" s="374">
        <f>R9+T9*Q13</f>
        <v>6</v>
      </c>
      <c r="T14" s="116"/>
      <c r="U14" s="116"/>
      <c r="V14" s="116"/>
      <c r="W14" s="375" t="s">
        <v>137</v>
      </c>
      <c r="X14" s="374">
        <f>Y7+AA7*X13</f>
        <v>6</v>
      </c>
      <c r="Y14" s="375" t="s">
        <v>138</v>
      </c>
      <c r="Z14" s="374">
        <f>Y10+AA10*X13</f>
        <v>6</v>
      </c>
      <c r="AA14" s="103"/>
      <c r="AB14" s="103"/>
      <c r="AC14" s="24"/>
      <c r="AD14" s="103"/>
      <c r="AE14" s="102" t="s">
        <v>365</v>
      </c>
      <c r="AF14" s="103"/>
      <c r="AG14" s="103"/>
      <c r="AH14" s="102" t="s">
        <v>139</v>
      </c>
      <c r="AI14" s="103">
        <f>(-1*AF8)/(AH8+(-1)*-AH8)</f>
        <v>1</v>
      </c>
      <c r="AJ14" s="103"/>
      <c r="AK14" s="103"/>
      <c r="AL14" s="103"/>
      <c r="AM14" s="102" t="s">
        <v>346</v>
      </c>
      <c r="AN14" s="103"/>
      <c r="AO14" s="103"/>
      <c r="AP14" s="172">
        <f>((AP10-AN10)/AN10)/((AP8-AN8)/AN8)</f>
        <v>-2.5</v>
      </c>
      <c r="AQ14" s="103"/>
      <c r="AR14" s="103"/>
      <c r="AW14">
        <v>0</v>
      </c>
      <c r="AX14">
        <f>C8+E8*F15</f>
        <v>25</v>
      </c>
    </row>
    <row r="15" spans="1:60" ht="18.75">
      <c r="A15" s="103"/>
      <c r="B15" s="102" t="s">
        <v>339</v>
      </c>
      <c r="C15" s="103"/>
      <c r="D15" s="103"/>
      <c r="E15" s="102" t="s">
        <v>139</v>
      </c>
      <c r="F15" s="103">
        <f>(-1*C8)/(E8+(-1)*-E8)</f>
        <v>100</v>
      </c>
      <c r="G15" s="103"/>
      <c r="H15" s="103"/>
      <c r="I15" s="103"/>
      <c r="J15" s="103"/>
      <c r="K15" s="102" t="s">
        <v>340</v>
      </c>
      <c r="L15" s="149">
        <v>150</v>
      </c>
      <c r="M15" s="103"/>
      <c r="N15" s="103"/>
      <c r="O15" s="24"/>
      <c r="P15" s="102" t="s">
        <v>354</v>
      </c>
      <c r="Q15" s="103"/>
      <c r="R15" s="103"/>
      <c r="S15" s="102" t="s">
        <v>354</v>
      </c>
      <c r="T15" s="103"/>
      <c r="U15" s="103"/>
      <c r="V15" s="103"/>
      <c r="W15" s="102" t="s">
        <v>354</v>
      </c>
      <c r="X15" s="103"/>
      <c r="Y15" s="103"/>
      <c r="Z15" s="102" t="s">
        <v>354</v>
      </c>
      <c r="AA15" s="103"/>
      <c r="AB15" s="103"/>
      <c r="AC15" s="24"/>
      <c r="AD15" s="103"/>
      <c r="AE15" s="102" t="s">
        <v>366</v>
      </c>
      <c r="AF15" s="103"/>
      <c r="AG15" s="103"/>
      <c r="AH15" s="103"/>
      <c r="AI15" s="205" t="s">
        <v>140</v>
      </c>
      <c r="AJ15" s="207">
        <f>((AH12-AF12)/AF12)/((AH11-AF11)/AF11)</f>
        <v>-1</v>
      </c>
      <c r="AK15" s="103"/>
      <c r="AL15" s="103"/>
      <c r="AM15" s="102"/>
      <c r="AN15" s="103"/>
      <c r="AO15" s="103"/>
      <c r="AP15" s="353"/>
      <c r="AQ15" s="121"/>
      <c r="AR15" s="103"/>
      <c r="AW15">
        <f t="shared" ref="AW15:BB15" si="3">$F$15</f>
        <v>100</v>
      </c>
      <c r="AX15">
        <f t="shared" si="3"/>
        <v>100</v>
      </c>
      <c r="AY15">
        <f t="shared" si="3"/>
        <v>100</v>
      </c>
      <c r="AZ15">
        <f t="shared" si="3"/>
        <v>100</v>
      </c>
      <c r="BA15">
        <f t="shared" si="3"/>
        <v>100</v>
      </c>
      <c r="BB15">
        <f t="shared" si="3"/>
        <v>100</v>
      </c>
    </row>
    <row r="16" spans="1:60">
      <c r="A16" s="103"/>
      <c r="B16" s="103"/>
      <c r="C16" s="103"/>
      <c r="D16" s="102" t="s">
        <v>340</v>
      </c>
      <c r="E16" s="149">
        <v>150</v>
      </c>
      <c r="F16" s="103"/>
      <c r="G16" s="92" t="s">
        <v>338</v>
      </c>
      <c r="H16" s="103">
        <v>1</v>
      </c>
      <c r="I16" s="102" t="s">
        <v>345</v>
      </c>
      <c r="J16" s="103"/>
      <c r="K16" s="103"/>
      <c r="L16" s="103"/>
      <c r="M16" s="118">
        <f>L12*(L15/(J12+L12*L15))</f>
        <v>-2.9982003599280134</v>
      </c>
      <c r="N16" s="103"/>
      <c r="O16" s="24"/>
      <c r="P16" s="103" t="s">
        <v>347</v>
      </c>
      <c r="Q16" s="103"/>
      <c r="R16" s="129">
        <f>T7*(Q13/Q14)</f>
        <v>-2</v>
      </c>
      <c r="S16" s="102" t="s">
        <v>355</v>
      </c>
      <c r="T16" s="103"/>
      <c r="U16" s="166">
        <f>T9*(Q13/S14)</f>
        <v>1.5</v>
      </c>
      <c r="V16" s="103"/>
      <c r="W16" s="103" t="s">
        <v>347</v>
      </c>
      <c r="X16" s="103"/>
      <c r="Y16" s="129">
        <f>AA7*(X13/X14)</f>
        <v>-2</v>
      </c>
      <c r="Z16" s="102" t="s">
        <v>355</v>
      </c>
      <c r="AA16" s="103"/>
      <c r="AB16" s="166">
        <f>AA10*(X13/Z14)</f>
        <v>1.5</v>
      </c>
      <c r="AC16" s="24"/>
      <c r="AD16" s="103"/>
      <c r="AE16" s="82"/>
      <c r="AF16" s="82"/>
      <c r="AG16" s="338"/>
      <c r="AH16" s="103"/>
      <c r="AI16" s="103"/>
      <c r="AJ16" s="103"/>
      <c r="AK16" s="103"/>
      <c r="AL16" s="103"/>
      <c r="AM16" s="102" t="s">
        <v>368</v>
      </c>
      <c r="AN16" s="103"/>
      <c r="AO16" s="103"/>
      <c r="AP16" s="172">
        <f>((AP10-AN10)/(0.5*(AP10+AN10)))/((AP8-AN8)/(0.5*(AP8+AN8)))</f>
        <v>-1.8000000000000003</v>
      </c>
      <c r="AQ16" s="103"/>
      <c r="AR16" s="103"/>
      <c r="AW16">
        <f>$AW$14</f>
        <v>0</v>
      </c>
      <c r="AX16">
        <f>$AW$14+$AX$14*0.2</f>
        <v>5</v>
      </c>
      <c r="AY16">
        <f>$AW$14+$AX$14*0.4</f>
        <v>10</v>
      </c>
      <c r="AZ16">
        <f>$AW$14+$AX$14*0.6</f>
        <v>15</v>
      </c>
      <c r="BA16">
        <f>$AW$14+$AX$14*0.8</f>
        <v>20</v>
      </c>
      <c r="BB16">
        <f>$AW$14+$AX$14</f>
        <v>25</v>
      </c>
    </row>
    <row r="17" spans="1:60">
      <c r="A17" s="92" t="s">
        <v>338</v>
      </c>
      <c r="B17" s="102" t="s">
        <v>345</v>
      </c>
      <c r="C17" s="103"/>
      <c r="D17" s="103"/>
      <c r="E17" s="103"/>
      <c r="F17" s="103"/>
      <c r="G17" s="118">
        <f>E8*(E16/(C8+E8*E16))</f>
        <v>-3</v>
      </c>
      <c r="H17" s="103">
        <v>2</v>
      </c>
      <c r="I17" s="102" t="s">
        <v>346</v>
      </c>
      <c r="J17" s="103"/>
      <c r="K17" s="103"/>
      <c r="L17" s="103"/>
      <c r="M17" s="119"/>
      <c r="N17" s="103"/>
      <c r="O17" s="24"/>
      <c r="P17" s="102" t="s">
        <v>363</v>
      </c>
      <c r="Q17" s="103"/>
      <c r="R17" s="103"/>
      <c r="S17" s="103"/>
      <c r="T17" s="103"/>
      <c r="U17" s="103"/>
      <c r="V17" s="103"/>
      <c r="W17" s="102" t="s">
        <v>363</v>
      </c>
      <c r="X17" s="103"/>
      <c r="Y17" s="103"/>
      <c r="Z17" s="103"/>
      <c r="AA17" s="103"/>
      <c r="AB17" s="103"/>
      <c r="AC17" s="24"/>
      <c r="AD17" s="103"/>
      <c r="AE17" s="82"/>
      <c r="AF17" s="82"/>
      <c r="AG17" s="82"/>
      <c r="AH17" s="103"/>
      <c r="AI17" s="131" t="s">
        <v>141</v>
      </c>
      <c r="AJ17" s="103"/>
      <c r="AK17" s="103"/>
      <c r="AL17" s="103"/>
      <c r="AM17" s="102"/>
      <c r="AN17" s="103"/>
      <c r="AO17" s="103"/>
      <c r="AP17" s="103"/>
      <c r="AQ17" s="103"/>
      <c r="AR17" s="103"/>
    </row>
    <row r="18" spans="1:60" ht="24" customHeight="1">
      <c r="A18" s="103"/>
      <c r="B18" s="103"/>
      <c r="C18" s="103"/>
      <c r="D18" s="103"/>
      <c r="E18" s="103"/>
      <c r="F18" s="119"/>
      <c r="G18" s="103"/>
      <c r="H18" s="103"/>
      <c r="I18" s="102" t="s">
        <v>347</v>
      </c>
      <c r="J18" s="103"/>
      <c r="K18" s="103"/>
      <c r="L18" s="120" t="s">
        <v>142</v>
      </c>
      <c r="M18" s="118">
        <f>((M10-K10)/K10)/((M8-K8)/K8)</f>
        <v>-2.9982003599280134</v>
      </c>
      <c r="N18" s="121"/>
      <c r="O18" s="24"/>
      <c r="P18" s="203" t="s">
        <v>60</v>
      </c>
      <c r="Q18" s="204">
        <f>(R7-R10)/(T10-T7)</f>
        <v>3.1428571428571428</v>
      </c>
      <c r="R18" s="204" t="s">
        <v>61</v>
      </c>
      <c r="S18" s="204">
        <f>((T10*R7)-(T7*R10))/(T10-T7)</f>
        <v>5.4285714285714288</v>
      </c>
      <c r="T18" s="116"/>
      <c r="U18" s="116"/>
      <c r="V18" s="116"/>
      <c r="W18" s="202" t="s">
        <v>60</v>
      </c>
      <c r="X18" s="117">
        <f>(Y8-Y10)/(AA10-AA8)</f>
        <v>3.2857142857142856</v>
      </c>
      <c r="Y18" s="202" t="s">
        <v>61</v>
      </c>
      <c r="Z18" s="117">
        <f>((AA10*Y8)-(AA8*Y10))/(AA10-AA8)</f>
        <v>6.8571428571428568</v>
      </c>
      <c r="AA18" s="103"/>
      <c r="AB18" s="103"/>
      <c r="AC18" s="24"/>
      <c r="AD18" s="103"/>
      <c r="AE18" s="102" t="s">
        <v>367</v>
      </c>
      <c r="AF18" s="103"/>
      <c r="AG18" s="103"/>
      <c r="AH18" s="103"/>
      <c r="AI18" s="120" t="s">
        <v>142</v>
      </c>
      <c r="AJ18" s="118">
        <f>((AH12-AF12)/(0.5*(AH12+AF12)))/((AH11-AF11)/(0.5*(AH11+AF11)))</f>
        <v>-3</v>
      </c>
      <c r="AK18" s="103"/>
      <c r="AL18" s="103"/>
      <c r="AM18" s="103"/>
      <c r="AN18" s="103"/>
      <c r="AO18" s="103"/>
      <c r="AP18" s="103"/>
      <c r="AQ18" s="103"/>
      <c r="AR18" s="103"/>
      <c r="AW18" s="90" t="s">
        <v>417</v>
      </c>
      <c r="AX18" s="90" t="s">
        <v>415</v>
      </c>
    </row>
    <row r="19" spans="1:60" ht="24" customHeight="1">
      <c r="A19" s="92" t="s">
        <v>338</v>
      </c>
      <c r="B19" s="102" t="s">
        <v>345</v>
      </c>
      <c r="C19" s="103"/>
      <c r="D19" s="103"/>
      <c r="E19" s="103"/>
      <c r="F19" s="120" t="s">
        <v>142</v>
      </c>
      <c r="G19" s="118">
        <f>((E12-C12)/C12)/((E11-C11)/C11)</f>
        <v>-3</v>
      </c>
      <c r="H19" s="103">
        <v>3</v>
      </c>
      <c r="I19" s="102" t="s">
        <v>349</v>
      </c>
      <c r="J19" s="103"/>
      <c r="K19" s="103"/>
      <c r="L19" s="103"/>
      <c r="M19" s="119"/>
      <c r="N19" s="103"/>
      <c r="O19" s="24"/>
      <c r="P19" s="376" t="s">
        <v>137</v>
      </c>
      <c r="Q19" s="377">
        <f>R9+T9*Q18</f>
        <v>6.4285714285714288</v>
      </c>
      <c r="R19" s="377" t="s">
        <v>138</v>
      </c>
      <c r="S19" s="377">
        <f>R10+T10*Q18</f>
        <v>5.4285714285714288</v>
      </c>
      <c r="T19" s="116"/>
      <c r="U19" s="116"/>
      <c r="V19" s="116"/>
      <c r="W19" s="375" t="s">
        <v>137</v>
      </c>
      <c r="X19" s="374">
        <f>Y10+AA10*X18</f>
        <v>6.8571428571428577</v>
      </c>
      <c r="Y19" s="375" t="s">
        <v>138</v>
      </c>
      <c r="Z19" s="374">
        <f>Y8+AA8*X18</f>
        <v>6.8571428571428577</v>
      </c>
      <c r="AA19" s="103"/>
      <c r="AB19" s="103"/>
      <c r="AC19" s="24"/>
      <c r="AD19" s="103"/>
      <c r="AE19" s="82"/>
      <c r="AF19" s="82"/>
      <c r="AG19" s="338"/>
      <c r="AH19" s="338"/>
      <c r="AI19" s="103"/>
      <c r="AJ19" s="103"/>
      <c r="AK19" s="103"/>
      <c r="AL19" s="102" t="s">
        <v>365</v>
      </c>
      <c r="AM19" s="103"/>
      <c r="AN19" s="103"/>
      <c r="AO19" s="102" t="s">
        <v>139</v>
      </c>
      <c r="AP19" s="119">
        <f>(-1*AM12)/(AO12+(-1)*-AO12)</f>
        <v>35</v>
      </c>
      <c r="AQ19" s="103"/>
      <c r="AR19" s="103"/>
      <c r="AW19" s="90" t="s">
        <v>23</v>
      </c>
      <c r="AY19">
        <f>$J$34-$J$34*0.6</f>
        <v>240</v>
      </c>
      <c r="AZ19">
        <f>$J$34-$J$34*0.4</f>
        <v>360</v>
      </c>
      <c r="BA19">
        <f>$J$34-$J$34*0.2</f>
        <v>480</v>
      </c>
      <c r="BB19">
        <f>$J$34+$J$34*0</f>
        <v>600</v>
      </c>
      <c r="BC19">
        <f>$J$34+$J$34*0.2</f>
        <v>720</v>
      </c>
      <c r="BD19">
        <f>$J$34+$J$34*0.4</f>
        <v>840</v>
      </c>
      <c r="BE19">
        <f>$J$34+$J$34*0.6</f>
        <v>960</v>
      </c>
    </row>
    <row r="20" spans="1:60">
      <c r="A20" s="103"/>
      <c r="B20" s="82"/>
      <c r="C20" s="82"/>
      <c r="D20" s="338"/>
      <c r="E20" s="338"/>
      <c r="F20" s="103"/>
      <c r="G20" s="103"/>
      <c r="H20" s="103"/>
      <c r="I20" s="102" t="s">
        <v>350</v>
      </c>
      <c r="J20" s="103"/>
      <c r="K20" s="103"/>
      <c r="L20" s="131" t="s">
        <v>141</v>
      </c>
      <c r="M20" s="119"/>
      <c r="N20" s="103"/>
      <c r="O20" s="24"/>
      <c r="P20" s="103"/>
      <c r="Q20" s="103"/>
      <c r="R20" s="103"/>
      <c r="S20" s="103"/>
      <c r="T20" s="103"/>
      <c r="U20" s="103"/>
      <c r="V20" s="103"/>
      <c r="W20" s="102"/>
      <c r="X20" s="103"/>
      <c r="Y20" s="103"/>
      <c r="Z20" s="102"/>
      <c r="AA20" s="103"/>
      <c r="AB20" s="103"/>
      <c r="AC20" s="24"/>
      <c r="AD20" s="103"/>
      <c r="AE20" s="82"/>
      <c r="AF20" s="82"/>
      <c r="AG20" s="82"/>
      <c r="AH20" s="82"/>
      <c r="AI20" s="103"/>
      <c r="AJ20" s="103"/>
      <c r="AK20" s="103"/>
      <c r="AL20" s="82"/>
      <c r="AM20" s="82"/>
      <c r="AN20" s="82"/>
      <c r="AO20" s="82"/>
      <c r="AP20" s="103"/>
      <c r="AQ20" s="103"/>
      <c r="AR20" s="103"/>
      <c r="AW20" s="90" t="s">
        <v>144</v>
      </c>
      <c r="AY20">
        <f t="shared" ref="AY20:BE20" si="4">$K$31+$M$31*AY19</f>
        <v>280</v>
      </c>
      <c r="AZ20">
        <f t="shared" si="4"/>
        <v>220</v>
      </c>
      <c r="BA20">
        <f t="shared" si="4"/>
        <v>160</v>
      </c>
      <c r="BB20">
        <f t="shared" si="4"/>
        <v>100</v>
      </c>
      <c r="BC20">
        <f t="shared" si="4"/>
        <v>40</v>
      </c>
      <c r="BD20">
        <f t="shared" si="4"/>
        <v>-20</v>
      </c>
      <c r="BE20">
        <f t="shared" si="4"/>
        <v>-80</v>
      </c>
    </row>
    <row r="21" spans="1:60" ht="18.75">
      <c r="A21" s="103"/>
      <c r="B21" s="103"/>
      <c r="C21" s="103"/>
      <c r="D21" s="103"/>
      <c r="E21" s="103"/>
      <c r="F21" s="131" t="s">
        <v>141</v>
      </c>
      <c r="G21" s="121"/>
      <c r="H21" s="103"/>
      <c r="I21" s="103"/>
      <c r="J21" s="103"/>
      <c r="K21" s="103"/>
      <c r="L21" s="120" t="s">
        <v>142</v>
      </c>
      <c r="M21" s="118">
        <f>((M10-K10)/(0.5*(M10+K10)))/((M8-K8)/(0.5*(M8+K8)))</f>
        <v>-1.9989501649625061</v>
      </c>
      <c r="N21" s="103"/>
      <c r="O21" s="24"/>
      <c r="P21" s="103"/>
      <c r="Q21" s="103"/>
      <c r="R21" s="103"/>
      <c r="S21" s="102" t="s">
        <v>362</v>
      </c>
      <c r="T21" s="103"/>
      <c r="U21" s="103"/>
      <c r="V21" s="205" t="s">
        <v>145</v>
      </c>
      <c r="W21" s="119">
        <f>((Z18-Z13)/Z13)/((Q18-Q13)/Q13)</f>
        <v>3</v>
      </c>
      <c r="X21" s="92" t="s">
        <v>338</v>
      </c>
      <c r="Y21" s="172"/>
      <c r="Z21" s="102"/>
      <c r="AA21" s="103"/>
      <c r="AB21" s="206"/>
      <c r="AC21" s="24"/>
      <c r="AD21" s="24"/>
      <c r="AE21" s="32"/>
      <c r="AF21" s="32"/>
      <c r="AG21" s="32"/>
      <c r="AH21" s="32"/>
      <c r="AI21" s="32"/>
      <c r="AJ21" s="24"/>
      <c r="AK21" s="24"/>
      <c r="AL21" s="24"/>
      <c r="AM21" s="24"/>
      <c r="AN21" s="24"/>
      <c r="AO21" s="24"/>
      <c r="AP21" s="24"/>
      <c r="AQ21" s="24"/>
      <c r="AR21" s="24"/>
      <c r="AX21" s="90" t="s">
        <v>418</v>
      </c>
    </row>
    <row r="22" spans="1:60" ht="18.75">
      <c r="A22" s="92" t="s">
        <v>338</v>
      </c>
      <c r="B22" s="102" t="s">
        <v>348</v>
      </c>
      <c r="C22" s="103"/>
      <c r="D22" s="103"/>
      <c r="E22" s="103"/>
      <c r="F22" s="120" t="s">
        <v>142</v>
      </c>
      <c r="G22" s="118">
        <f>((E12-C12)/(0.5*(E12+C12)))/((E11-C11)/(0.5*(E11+C11)))</f>
        <v>-2.0000171004064105</v>
      </c>
      <c r="H22" s="103"/>
      <c r="I22" s="102" t="s">
        <v>339</v>
      </c>
      <c r="J22" s="103"/>
      <c r="K22" s="103"/>
      <c r="L22" s="102" t="s">
        <v>139</v>
      </c>
      <c r="M22" s="119">
        <f>(-1*J12)/(L12+(-1)*-L12)</f>
        <v>100.01500600240097</v>
      </c>
      <c r="N22" s="103"/>
      <c r="P22" s="24"/>
      <c r="Q22" s="33"/>
      <c r="R22" s="24"/>
      <c r="S22" s="24"/>
      <c r="T22" s="24"/>
      <c r="U22" s="24"/>
      <c r="V22" s="24"/>
      <c r="AD22" s="24"/>
      <c r="AE22" s="24"/>
      <c r="AF22" s="24"/>
      <c r="AG22" s="24"/>
      <c r="AH22" s="24"/>
      <c r="AI22" s="24"/>
      <c r="AJ22" s="24"/>
      <c r="AK22" s="24"/>
      <c r="AY22">
        <f>$J$34-$J$34*0.6</f>
        <v>240</v>
      </c>
      <c r="AZ22">
        <f>$J$34-$J$34*0.4</f>
        <v>360</v>
      </c>
      <c r="BA22">
        <f>$J$34-$J$34*0.2</f>
        <v>480</v>
      </c>
      <c r="BB22">
        <f>$J$34+$J$34*0</f>
        <v>600</v>
      </c>
      <c r="BC22">
        <f>$J$34+$J$34*0.2</f>
        <v>720</v>
      </c>
      <c r="BD22">
        <f>$J$34+$J$34*0.4</f>
        <v>840</v>
      </c>
      <c r="BE22">
        <f>$J$34+$J$34*0.6</f>
        <v>960</v>
      </c>
    </row>
    <row r="23" spans="1:60">
      <c r="A23" s="103"/>
      <c r="B23" s="82"/>
      <c r="C23" s="82"/>
      <c r="D23" s="338"/>
      <c r="E23" s="338"/>
      <c r="F23" s="103"/>
      <c r="G23" s="103"/>
      <c r="H23" s="103"/>
      <c r="I23" s="82"/>
      <c r="J23" s="82"/>
      <c r="K23" s="82"/>
      <c r="L23" s="82"/>
      <c r="M23" s="103"/>
      <c r="N23" s="103"/>
      <c r="P23" s="24"/>
      <c r="Q23" s="378"/>
      <c r="R23" s="379"/>
      <c r="S23" s="24"/>
      <c r="T23" s="378"/>
      <c r="U23" s="379"/>
      <c r="V23" s="24"/>
      <c r="AD23" s="24"/>
      <c r="AE23" s="24"/>
      <c r="AF23" s="24"/>
      <c r="AG23" s="24"/>
      <c r="AH23" s="24"/>
      <c r="AI23" s="24"/>
      <c r="AJ23" s="24"/>
      <c r="AK23" s="24"/>
      <c r="AY23">
        <f t="shared" ref="AY23:BE23" si="5">$Q$31+$S$31*AY22</f>
        <v>-80</v>
      </c>
      <c r="AZ23">
        <f t="shared" si="5"/>
        <v>-20</v>
      </c>
      <c r="BA23">
        <f t="shared" si="5"/>
        <v>40</v>
      </c>
      <c r="BB23">
        <f t="shared" si="5"/>
        <v>100</v>
      </c>
      <c r="BC23">
        <f t="shared" si="5"/>
        <v>160</v>
      </c>
      <c r="BD23">
        <f t="shared" si="5"/>
        <v>220</v>
      </c>
      <c r="BE23">
        <f t="shared" si="5"/>
        <v>280</v>
      </c>
    </row>
    <row r="24" spans="1:60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P24" s="101"/>
      <c r="Q24" s="24"/>
      <c r="R24" s="24"/>
      <c r="S24" s="101"/>
      <c r="T24" s="24"/>
      <c r="U24" s="24"/>
      <c r="V24" s="24"/>
      <c r="AD24" s="24"/>
      <c r="AE24" s="24"/>
      <c r="AF24" s="24"/>
      <c r="AG24" s="24"/>
      <c r="AH24" s="24"/>
      <c r="AI24" s="24"/>
      <c r="AJ24" s="24"/>
      <c r="AK24" s="24"/>
    </row>
    <row r="25" spans="1:60" ht="15.75">
      <c r="A25" s="149"/>
      <c r="B25" s="149"/>
      <c r="C25" s="149"/>
      <c r="D25" s="149"/>
      <c r="E25" s="149"/>
      <c r="F25" s="149"/>
      <c r="G25" s="149"/>
      <c r="H25" s="24"/>
      <c r="J25" s="324"/>
      <c r="P25" s="24"/>
      <c r="Q25" s="24"/>
      <c r="R25" s="37"/>
      <c r="S25" s="101"/>
      <c r="T25" s="24"/>
      <c r="U25" s="38"/>
      <c r="V25" s="24"/>
      <c r="AD25" s="24"/>
      <c r="AE25" s="32"/>
      <c r="AF25" s="32"/>
      <c r="AG25" s="32"/>
      <c r="AH25" s="32"/>
      <c r="AI25" s="32"/>
      <c r="AJ25" s="24"/>
    </row>
    <row r="26" spans="1:60">
      <c r="A26" s="149"/>
      <c r="B26" s="149"/>
      <c r="C26" s="149"/>
      <c r="D26" s="149"/>
      <c r="E26" s="149"/>
      <c r="F26" s="149"/>
      <c r="G26" s="149"/>
      <c r="H26" s="92" t="s">
        <v>338</v>
      </c>
      <c r="X26" s="24"/>
      <c r="Y26" s="24"/>
      <c r="Z26" s="24"/>
      <c r="AA26" s="24"/>
      <c r="AB26" s="24"/>
      <c r="AC26" s="24"/>
      <c r="AD26" s="24"/>
      <c r="AE26" s="32"/>
      <c r="AF26" s="32"/>
      <c r="AG26" s="32"/>
      <c r="AH26" s="32"/>
      <c r="AI26" s="32"/>
      <c r="AJ26" s="24"/>
      <c r="AM26" s="326" t="s">
        <v>99</v>
      </c>
      <c r="AN26" s="326"/>
      <c r="AO26" s="326"/>
    </row>
    <row r="27" spans="1:60">
      <c r="A27" s="149"/>
      <c r="B27" s="149"/>
      <c r="C27" s="149"/>
      <c r="D27" s="149"/>
      <c r="E27" s="149"/>
      <c r="F27" s="149"/>
      <c r="G27" s="149"/>
      <c r="H27" s="24"/>
      <c r="U27" s="24"/>
      <c r="V27" s="24"/>
      <c r="X27" s="24"/>
      <c r="Y27" s="24"/>
      <c r="Z27" s="24"/>
      <c r="AA27" s="24"/>
      <c r="AB27" s="24"/>
      <c r="AC27" s="24"/>
      <c r="AD27" s="24"/>
      <c r="AE27" s="32"/>
      <c r="AF27" s="32"/>
      <c r="AG27" s="32"/>
      <c r="AH27" s="32"/>
      <c r="AI27" s="32"/>
      <c r="AJ27" s="24"/>
      <c r="AM27" s="326" t="s">
        <v>100</v>
      </c>
      <c r="AN27" s="326"/>
      <c r="AO27" s="326"/>
    </row>
    <row r="28" spans="1:60" ht="15.75">
      <c r="A28" s="149"/>
      <c r="B28" s="149"/>
      <c r="C28" s="149"/>
      <c r="D28" s="149"/>
      <c r="E28" s="149"/>
      <c r="F28" s="149"/>
      <c r="G28" s="149"/>
      <c r="H28" s="24"/>
      <c r="I28" s="102" t="s">
        <v>351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AD28" s="24"/>
      <c r="AE28" s="32"/>
      <c r="AF28" s="32"/>
      <c r="AG28" s="32"/>
      <c r="AH28" s="32"/>
      <c r="AI28" s="32"/>
      <c r="AJ28" s="24"/>
      <c r="AM28" s="326" t="s">
        <v>103</v>
      </c>
      <c r="AN28" s="326"/>
      <c r="AO28" s="326"/>
    </row>
    <row r="29" spans="1:60">
      <c r="A29" s="149"/>
      <c r="B29" s="149"/>
      <c r="C29" s="149"/>
      <c r="D29" s="149"/>
      <c r="E29" s="149"/>
      <c r="F29" s="149"/>
      <c r="G29" s="149"/>
      <c r="H29" s="24"/>
      <c r="I29" s="103"/>
      <c r="J29" s="104"/>
      <c r="K29" s="164" t="s">
        <v>11</v>
      </c>
      <c r="L29" s="105"/>
      <c r="M29" s="105"/>
      <c r="N29" s="105"/>
      <c r="O29" s="105"/>
      <c r="P29" s="164" t="s">
        <v>10</v>
      </c>
      <c r="Q29" s="105"/>
      <c r="R29" s="105"/>
      <c r="S29" s="105"/>
      <c r="T29" s="106"/>
      <c r="AD29" s="24"/>
      <c r="AE29" s="24"/>
      <c r="AF29" s="24"/>
      <c r="AG29" s="24"/>
      <c r="AH29" s="24"/>
      <c r="AI29" s="24"/>
      <c r="AJ29" s="24"/>
      <c r="AM29" s="326" t="s">
        <v>106</v>
      </c>
      <c r="AN29" s="326"/>
      <c r="AO29" s="326"/>
      <c r="AW29" s="90" t="s">
        <v>419</v>
      </c>
    </row>
    <row r="30" spans="1:60">
      <c r="A30" s="149"/>
      <c r="B30" s="149"/>
      <c r="C30" s="149"/>
      <c r="D30" s="149"/>
      <c r="E30" s="149"/>
      <c r="F30" s="149"/>
      <c r="G30" s="149"/>
      <c r="H30" s="24"/>
      <c r="I30" s="103"/>
      <c r="J30" s="107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AD30" s="24"/>
      <c r="AE30" s="24"/>
      <c r="AF30" s="24"/>
      <c r="AG30" s="24"/>
      <c r="AH30" s="24"/>
      <c r="AI30" s="24"/>
      <c r="AJ30" s="24"/>
      <c r="AK30" s="24"/>
      <c r="AM30" s="327" t="s">
        <v>107</v>
      </c>
      <c r="AN30" s="326"/>
      <c r="AO30" s="326"/>
      <c r="AW30" s="90" t="s">
        <v>146</v>
      </c>
    </row>
    <row r="31" spans="1:60" ht="15.75">
      <c r="A31" s="149"/>
      <c r="B31" s="149"/>
      <c r="C31" s="149"/>
      <c r="D31" s="149"/>
      <c r="E31" s="149"/>
      <c r="F31" s="149"/>
      <c r="G31" s="149"/>
      <c r="H31" s="1"/>
      <c r="I31" s="103"/>
      <c r="J31" s="343" t="s">
        <v>49</v>
      </c>
      <c r="K31" s="189">
        <v>400</v>
      </c>
      <c r="L31" s="344" t="s">
        <v>22</v>
      </c>
      <c r="M31" s="189">
        <v>-0.5</v>
      </c>
      <c r="N31" s="345" t="s">
        <v>23</v>
      </c>
      <c r="O31" s="112"/>
      <c r="P31" s="346" t="s">
        <v>51</v>
      </c>
      <c r="Q31" s="189">
        <v>-200</v>
      </c>
      <c r="R31" s="344" t="s">
        <v>22</v>
      </c>
      <c r="S31" s="189">
        <v>0.5</v>
      </c>
      <c r="T31" s="347" t="s">
        <v>23</v>
      </c>
      <c r="AE31" s="24"/>
      <c r="AF31" s="24"/>
      <c r="AG31" s="24"/>
      <c r="AH31" s="24"/>
      <c r="AI31" s="24"/>
      <c r="AJ31" s="24"/>
      <c r="AK31" s="24"/>
      <c r="AW31" s="90" t="s">
        <v>23</v>
      </c>
      <c r="AX31">
        <f>$Q$13-$Q$13</f>
        <v>0</v>
      </c>
      <c r="AY31">
        <f>$Q$13-$Q$13*0.8</f>
        <v>0.59999999999999964</v>
      </c>
      <c r="AZ31">
        <f>$Q$13-$Q$13*0.6</f>
        <v>1.2000000000000002</v>
      </c>
      <c r="BA31">
        <f>$Q$13-$Q$13*0.4</f>
        <v>1.7999999999999998</v>
      </c>
      <c r="BB31">
        <f>$Q$13-$Q$13*0.2</f>
        <v>2.4</v>
      </c>
      <c r="BC31" s="1">
        <f>$Q$13</f>
        <v>3</v>
      </c>
      <c r="BD31">
        <f>$Q$13+$Q$13*0.2</f>
        <v>3.6</v>
      </c>
      <c r="BE31">
        <f>$Q$13+$Q$13*0.4</f>
        <v>4.2</v>
      </c>
      <c r="BF31">
        <f>$Q$13+$Q$13*0.6</f>
        <v>4.8</v>
      </c>
      <c r="BG31">
        <f>$Q$13+$Q$13*0.8</f>
        <v>5.4</v>
      </c>
      <c r="BH31">
        <f>$Q$13+$Q$13</f>
        <v>6</v>
      </c>
    </row>
    <row r="32" spans="1:60">
      <c r="A32" s="149"/>
      <c r="B32" s="149"/>
      <c r="C32" s="149"/>
      <c r="D32" s="149"/>
      <c r="E32" s="149"/>
      <c r="F32" s="149"/>
      <c r="G32" s="149"/>
      <c r="H32" s="90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AE32" s="33"/>
      <c r="AF32" s="24"/>
      <c r="AG32" s="24"/>
      <c r="AH32" s="24"/>
      <c r="AI32" s="24"/>
      <c r="AJ32" s="24"/>
      <c r="AK32" s="24"/>
      <c r="AW32" s="90" t="s">
        <v>48</v>
      </c>
      <c r="AX32" s="1">
        <f t="shared" ref="AX32:BH32" si="6">$R$7+$T$7*AX31</f>
        <v>18</v>
      </c>
      <c r="AY32" s="1">
        <f t="shared" si="6"/>
        <v>15.600000000000001</v>
      </c>
      <c r="AZ32" s="1">
        <f t="shared" si="6"/>
        <v>13.2</v>
      </c>
      <c r="BA32" s="1">
        <f t="shared" si="6"/>
        <v>10.8</v>
      </c>
      <c r="BB32" s="1">
        <f t="shared" si="6"/>
        <v>8.4</v>
      </c>
      <c r="BC32" s="1">
        <f t="shared" si="6"/>
        <v>6</v>
      </c>
      <c r="BD32" s="1">
        <f t="shared" si="6"/>
        <v>3.5999999999999996</v>
      </c>
      <c r="BE32" s="1">
        <f t="shared" si="6"/>
        <v>1.1999999999999993</v>
      </c>
      <c r="BF32" s="1">
        <f t="shared" si="6"/>
        <v>-1.1999999999999993</v>
      </c>
      <c r="BG32" s="1">
        <f t="shared" si="6"/>
        <v>-3.6000000000000014</v>
      </c>
      <c r="BH32" s="1">
        <f t="shared" si="6"/>
        <v>-6</v>
      </c>
    </row>
    <row r="33" spans="1:60">
      <c r="A33" s="149"/>
      <c r="B33" s="149"/>
      <c r="C33" s="149"/>
      <c r="D33" s="149"/>
      <c r="E33" s="149"/>
      <c r="F33" s="149"/>
      <c r="G33" s="149"/>
      <c r="H33" s="380"/>
      <c r="I33" s="102" t="s">
        <v>352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AE33" s="24"/>
      <c r="AF33" s="24"/>
      <c r="AG33" s="24"/>
      <c r="AH33" s="24"/>
      <c r="AI33" s="24"/>
      <c r="AJ33" s="24"/>
      <c r="AK33" s="24"/>
    </row>
    <row r="34" spans="1:60" ht="24" customHeight="1">
      <c r="A34" s="149"/>
      <c r="B34" s="149"/>
      <c r="C34" s="149"/>
      <c r="D34" s="149"/>
      <c r="E34" s="149"/>
      <c r="F34" s="149"/>
      <c r="G34" s="149"/>
      <c r="H34" s="380"/>
      <c r="I34" s="418" t="s">
        <v>60</v>
      </c>
      <c r="J34" s="208">
        <f>(K31-Q31)/(S31-M31)</f>
        <v>600</v>
      </c>
      <c r="K34" s="209"/>
      <c r="L34" s="209"/>
      <c r="M34" s="208" t="s">
        <v>61</v>
      </c>
      <c r="N34" s="208">
        <f>((S31*K31)-(M31*Q31))/(S31-M31)</f>
        <v>100</v>
      </c>
      <c r="O34" s="103"/>
      <c r="P34" s="103"/>
      <c r="Q34" s="103"/>
      <c r="R34" s="103"/>
      <c r="S34" s="103"/>
      <c r="T34" s="103"/>
    </row>
    <row r="35" spans="1:60" ht="24" customHeight="1">
      <c r="I35" s="381" t="s">
        <v>137</v>
      </c>
      <c r="J35" s="382">
        <f>K31+M31*J34</f>
        <v>100</v>
      </c>
      <c r="K35" s="209"/>
      <c r="L35" s="209"/>
      <c r="M35" s="382" t="s">
        <v>138</v>
      </c>
      <c r="N35" s="382">
        <f>Q31+S31*J34</f>
        <v>100</v>
      </c>
      <c r="O35" s="103"/>
      <c r="P35" s="103"/>
      <c r="Q35" s="103"/>
      <c r="R35" s="103"/>
      <c r="S35" s="103"/>
      <c r="T35" s="103"/>
      <c r="AW35" s="90" t="s">
        <v>147</v>
      </c>
    </row>
    <row r="36" spans="1:60">
      <c r="I36" s="102" t="s">
        <v>354</v>
      </c>
      <c r="J36" s="103"/>
      <c r="K36" s="103"/>
      <c r="L36" s="103"/>
      <c r="M36" s="102" t="s">
        <v>354</v>
      </c>
      <c r="N36" s="103"/>
      <c r="O36" s="103"/>
      <c r="P36" s="103"/>
      <c r="Q36" s="103"/>
      <c r="R36" s="103"/>
      <c r="S36" s="103"/>
      <c r="T36" s="103"/>
      <c r="AW36" s="90" t="s">
        <v>23</v>
      </c>
      <c r="AX36">
        <f>$Q$13-$Q$13</f>
        <v>0</v>
      </c>
      <c r="AY36">
        <f>$Q$13-$Q$13*0.8</f>
        <v>0.59999999999999964</v>
      </c>
      <c r="AZ36">
        <f>$Q$13-$Q$13*0.6</f>
        <v>1.2000000000000002</v>
      </c>
      <c r="BA36">
        <f>$Q$13-$Q$13*0.4</f>
        <v>1.7999999999999998</v>
      </c>
      <c r="BB36">
        <f>$Q$13-$Q$13*0.2</f>
        <v>2.4</v>
      </c>
      <c r="BC36" s="1">
        <f>$Q$13</f>
        <v>3</v>
      </c>
      <c r="BD36">
        <f>$Q$13+$Q$13*0.2</f>
        <v>3.6</v>
      </c>
      <c r="BE36">
        <f>$Q$13+$Q$13*0.4</f>
        <v>4.2</v>
      </c>
      <c r="BF36">
        <f>$Q$13+$Q$13*0.6</f>
        <v>4.8</v>
      </c>
      <c r="BG36">
        <f>$Q$13+$Q$13*0.8</f>
        <v>5.4</v>
      </c>
      <c r="BH36">
        <f>$Q$13+$Q$13</f>
        <v>6</v>
      </c>
    </row>
    <row r="37" spans="1:60" ht="18.75">
      <c r="I37" s="102" t="s">
        <v>347</v>
      </c>
      <c r="J37" s="120" t="s">
        <v>508</v>
      </c>
      <c r="K37" s="172">
        <f>M31*(J34/J35)</f>
        <v>-3</v>
      </c>
      <c r="L37" s="103"/>
      <c r="M37" s="102" t="s">
        <v>355</v>
      </c>
      <c r="N37" s="120" t="s">
        <v>509</v>
      </c>
      <c r="O37" s="210">
        <f>S31*(J34/N35)</f>
        <v>3</v>
      </c>
      <c r="P37" s="103"/>
      <c r="Q37" s="92" t="s">
        <v>338</v>
      </c>
      <c r="R37" s="103"/>
      <c r="S37" s="103"/>
      <c r="T37" s="103"/>
      <c r="AW37" s="90" t="s">
        <v>62</v>
      </c>
      <c r="AX37" s="1">
        <f t="shared" ref="AX37:BH37" si="7">$R$9+$T$9*AX36</f>
        <v>-3</v>
      </c>
      <c r="AY37" s="1">
        <f t="shared" si="7"/>
        <v>-1.2000000000000011</v>
      </c>
      <c r="AZ37" s="1">
        <f t="shared" si="7"/>
        <v>0.60000000000000053</v>
      </c>
      <c r="BA37" s="1">
        <f t="shared" si="7"/>
        <v>2.3999999999999995</v>
      </c>
      <c r="BB37" s="1">
        <f t="shared" si="7"/>
        <v>4.1999999999999993</v>
      </c>
      <c r="BC37" s="1">
        <f t="shared" si="7"/>
        <v>6</v>
      </c>
      <c r="BD37" s="1">
        <f t="shared" si="7"/>
        <v>7.8000000000000007</v>
      </c>
      <c r="BE37" s="1">
        <f t="shared" si="7"/>
        <v>9.6000000000000014</v>
      </c>
      <c r="BF37" s="1">
        <f t="shared" si="7"/>
        <v>11.399999999999999</v>
      </c>
      <c r="BG37" s="1">
        <f t="shared" si="7"/>
        <v>13.200000000000003</v>
      </c>
      <c r="BH37" s="1">
        <f t="shared" si="7"/>
        <v>15</v>
      </c>
    </row>
    <row r="38" spans="1:60">
      <c r="I38" s="102"/>
      <c r="J38" s="103"/>
      <c r="K38" s="103"/>
      <c r="L38" s="103"/>
      <c r="M38" s="102"/>
      <c r="N38" s="103"/>
      <c r="O38" s="103"/>
      <c r="P38" s="103"/>
      <c r="Q38" s="103"/>
      <c r="R38" s="103"/>
      <c r="S38" s="103"/>
      <c r="T38" s="103"/>
      <c r="AX38">
        <f t="shared" ref="AX38:BH38" si="8">$R$10+$T$10*AX36</f>
        <v>-4</v>
      </c>
      <c r="AY38">
        <f t="shared" si="8"/>
        <v>-2.2000000000000011</v>
      </c>
      <c r="AZ38">
        <f t="shared" si="8"/>
        <v>-0.39999999999999947</v>
      </c>
      <c r="BA38">
        <f t="shared" si="8"/>
        <v>1.3999999999999995</v>
      </c>
      <c r="BB38">
        <f t="shared" si="8"/>
        <v>3.1999999999999993</v>
      </c>
      <c r="BC38">
        <f t="shared" si="8"/>
        <v>5</v>
      </c>
      <c r="BD38">
        <f t="shared" si="8"/>
        <v>6.8000000000000007</v>
      </c>
      <c r="BE38">
        <f t="shared" si="8"/>
        <v>8.6000000000000014</v>
      </c>
      <c r="BF38">
        <f t="shared" si="8"/>
        <v>10.399999999999999</v>
      </c>
      <c r="BG38">
        <f t="shared" si="8"/>
        <v>12.200000000000003</v>
      </c>
      <c r="BH38">
        <f t="shared" si="8"/>
        <v>14</v>
      </c>
    </row>
    <row r="39" spans="1:60">
      <c r="I39" s="102" t="s">
        <v>353</v>
      </c>
      <c r="J39" s="167" t="s">
        <v>120</v>
      </c>
      <c r="K39" s="149">
        <v>650</v>
      </c>
      <c r="L39" s="103"/>
      <c r="M39" s="103"/>
      <c r="N39" s="103"/>
      <c r="O39" s="103"/>
      <c r="P39" s="167"/>
      <c r="Q39" s="103"/>
      <c r="R39" s="103"/>
      <c r="S39" s="103"/>
      <c r="T39" s="103"/>
    </row>
    <row r="40" spans="1:60">
      <c r="I40" s="103"/>
      <c r="J40" s="373" t="s">
        <v>137</v>
      </c>
      <c r="K40" s="383">
        <f>K31+M31*K39</f>
        <v>75</v>
      </c>
      <c r="L40" s="103"/>
      <c r="M40" s="103"/>
      <c r="N40" s="373" t="s">
        <v>138</v>
      </c>
      <c r="O40" s="383">
        <f>Q31+S31*K39</f>
        <v>125</v>
      </c>
      <c r="P40" s="103"/>
      <c r="Q40" s="103"/>
      <c r="R40" s="103"/>
      <c r="S40" s="103"/>
      <c r="T40" s="103"/>
      <c r="AW40" s="90" t="s">
        <v>149</v>
      </c>
    </row>
    <row r="41" spans="1:60">
      <c r="I41" s="102" t="s">
        <v>354</v>
      </c>
      <c r="J41" s="103"/>
      <c r="K41" s="103"/>
      <c r="L41" s="103"/>
      <c r="M41" s="102" t="s">
        <v>354</v>
      </c>
      <c r="N41" s="103"/>
      <c r="O41" s="103"/>
      <c r="P41" s="103"/>
      <c r="Q41" s="103"/>
      <c r="R41" s="103"/>
      <c r="S41" s="103"/>
      <c r="T41" s="103"/>
      <c r="AW41" s="90" t="s">
        <v>23</v>
      </c>
      <c r="AX41" s="1">
        <f>$X$13-$X$13*1</f>
        <v>0</v>
      </c>
      <c r="AY41" s="1">
        <f>$X$13-$X$13*0.8</f>
        <v>0.59999999999999964</v>
      </c>
      <c r="AZ41" s="1">
        <f>$X$13-$X$13*0.6</f>
        <v>1.2000000000000002</v>
      </c>
      <c r="BA41" s="1">
        <f>$X$13-$X$13*0.4</f>
        <v>1.7999999999999998</v>
      </c>
      <c r="BB41" s="1">
        <f>$X$13-$X$13*0.2</f>
        <v>2.4</v>
      </c>
      <c r="BC41" s="1">
        <f>$X$13+$X$13*0</f>
        <v>3</v>
      </c>
      <c r="BD41" s="1">
        <f>$X$13+$X$13*0.2</f>
        <v>3.6</v>
      </c>
      <c r="BE41" s="1">
        <f>$X$13+$X$13*0.4</f>
        <v>4.2</v>
      </c>
      <c r="BF41" s="1">
        <f>$X$13+$X$13*0.6</f>
        <v>4.8</v>
      </c>
      <c r="BG41" s="1">
        <f>$X$13+$X$13*0.8</f>
        <v>5.4</v>
      </c>
      <c r="BH41" s="1">
        <f>$X$13+$X$13</f>
        <v>6</v>
      </c>
    </row>
    <row r="42" spans="1:60">
      <c r="I42" s="102" t="s">
        <v>347</v>
      </c>
      <c r="J42" s="103"/>
      <c r="K42" s="172">
        <f>M31*(K39/K40)</f>
        <v>-4.333333333333333</v>
      </c>
      <c r="L42" s="103"/>
      <c r="M42" s="102" t="s">
        <v>355</v>
      </c>
      <c r="N42" s="103"/>
      <c r="O42" s="206">
        <f>S31*(K39/O40)</f>
        <v>2.6</v>
      </c>
      <c r="P42" s="103"/>
      <c r="Q42" s="92" t="s">
        <v>338</v>
      </c>
      <c r="R42" s="103"/>
      <c r="S42" s="103"/>
      <c r="T42" s="103"/>
      <c r="AW42" s="90" t="s">
        <v>48</v>
      </c>
      <c r="AX42" s="1">
        <f t="shared" ref="AX42:BH42" si="9">$Y$7+$AA$7*AX41</f>
        <v>18</v>
      </c>
      <c r="AY42" s="1">
        <f t="shared" si="9"/>
        <v>15.600000000000001</v>
      </c>
      <c r="AZ42" s="1">
        <f t="shared" si="9"/>
        <v>13.2</v>
      </c>
      <c r="BA42" s="1">
        <f t="shared" si="9"/>
        <v>10.8</v>
      </c>
      <c r="BB42" s="1">
        <f t="shared" si="9"/>
        <v>8.4</v>
      </c>
      <c r="BC42" s="1">
        <f t="shared" si="9"/>
        <v>6</v>
      </c>
      <c r="BD42" s="1">
        <f t="shared" si="9"/>
        <v>3.5999999999999996</v>
      </c>
      <c r="BE42" s="1">
        <f t="shared" si="9"/>
        <v>1.1999999999999993</v>
      </c>
      <c r="BF42" s="1">
        <f t="shared" si="9"/>
        <v>-1.1999999999999993</v>
      </c>
      <c r="BG42" s="1">
        <f t="shared" si="9"/>
        <v>-3.6000000000000014</v>
      </c>
      <c r="BH42" s="1">
        <f t="shared" si="9"/>
        <v>-6</v>
      </c>
    </row>
    <row r="43" spans="1:60"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AW43" s="90" t="s">
        <v>48</v>
      </c>
      <c r="AX43" s="1">
        <f t="shared" ref="AX43:BH43" si="10">$Y$8+$AA$8*AX41</f>
        <v>20</v>
      </c>
      <c r="AY43" s="1">
        <f t="shared" si="10"/>
        <v>17.600000000000001</v>
      </c>
      <c r="AZ43" s="1">
        <f t="shared" si="10"/>
        <v>15.2</v>
      </c>
      <c r="BA43" s="1">
        <f t="shared" si="10"/>
        <v>12.8</v>
      </c>
      <c r="BB43" s="1">
        <f t="shared" si="10"/>
        <v>10.4</v>
      </c>
      <c r="BC43" s="1">
        <f t="shared" si="10"/>
        <v>8</v>
      </c>
      <c r="BD43" s="1">
        <f t="shared" si="10"/>
        <v>5.6</v>
      </c>
      <c r="BE43" s="1">
        <f t="shared" si="10"/>
        <v>3.1999999999999993</v>
      </c>
      <c r="BF43" s="1">
        <f t="shared" si="10"/>
        <v>0.80000000000000071</v>
      </c>
      <c r="BG43" s="1">
        <f t="shared" si="10"/>
        <v>-1.6000000000000014</v>
      </c>
      <c r="BH43" s="1">
        <f t="shared" si="10"/>
        <v>-4</v>
      </c>
    </row>
    <row r="44" spans="1:60"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60">
      <c r="AW45" s="90" t="s">
        <v>150</v>
      </c>
    </row>
    <row r="46" spans="1:60">
      <c r="AW46" s="90" t="s">
        <v>23</v>
      </c>
      <c r="AX46" s="1">
        <f>$X$13-$X$13*1</f>
        <v>0</v>
      </c>
      <c r="AY46" s="1">
        <f>$X$13-$X$13*0.8</f>
        <v>0.59999999999999964</v>
      </c>
      <c r="AZ46" s="1">
        <f>$X$13-$X$13*0.6</f>
        <v>1.2000000000000002</v>
      </c>
      <c r="BA46" s="1">
        <f>$X$13-$X$13*0.4</f>
        <v>1.7999999999999998</v>
      </c>
      <c r="BB46" s="1">
        <f>$X$13-$X$13*0.2</f>
        <v>2.4</v>
      </c>
      <c r="BC46" s="1">
        <f>$X$13+$X$13*0</f>
        <v>3</v>
      </c>
      <c r="BD46" s="1">
        <f>$X$13+$X$13*0.2</f>
        <v>3.6</v>
      </c>
      <c r="BE46" s="1">
        <f>$X$13+$X$13*0.4</f>
        <v>4.2</v>
      </c>
      <c r="BF46" s="1">
        <f>$X$13+$X$13*0.6</f>
        <v>4.8</v>
      </c>
      <c r="BG46" s="1">
        <f>$X$13+$X$13*0.8</f>
        <v>5.4</v>
      </c>
      <c r="BH46" s="1">
        <f>$X$13+$X$13</f>
        <v>6</v>
      </c>
    </row>
    <row r="47" spans="1:60">
      <c r="AW47" s="90" t="s">
        <v>62</v>
      </c>
      <c r="AX47" s="1">
        <f t="shared" ref="AX47:BH47" si="11">$Y$10+$AA$10*AX46</f>
        <v>-3</v>
      </c>
      <c r="AY47" s="1">
        <f t="shared" si="11"/>
        <v>-1.2000000000000011</v>
      </c>
      <c r="AZ47" s="1">
        <f t="shared" si="11"/>
        <v>0.60000000000000053</v>
      </c>
      <c r="BA47" s="1">
        <f t="shared" si="11"/>
        <v>2.3999999999999995</v>
      </c>
      <c r="BB47" s="1">
        <f t="shared" si="11"/>
        <v>4.1999999999999993</v>
      </c>
      <c r="BC47" s="1">
        <f t="shared" si="11"/>
        <v>6</v>
      </c>
      <c r="BD47" s="1">
        <f t="shared" si="11"/>
        <v>7.8000000000000007</v>
      </c>
      <c r="BE47" s="1">
        <f t="shared" si="11"/>
        <v>9.6000000000000014</v>
      </c>
      <c r="BF47" s="1">
        <f t="shared" si="11"/>
        <v>11.399999999999999</v>
      </c>
      <c r="BG47" s="1">
        <f t="shared" si="11"/>
        <v>13.200000000000003</v>
      </c>
      <c r="BH47" s="1">
        <f t="shared" si="11"/>
        <v>15</v>
      </c>
    </row>
    <row r="52" spans="1:35">
      <c r="D52" s="430" t="s">
        <v>518</v>
      </c>
      <c r="E52" s="103"/>
    </row>
    <row r="53" spans="1:35">
      <c r="D53" s="431" t="s">
        <v>510</v>
      </c>
      <c r="E53" s="432"/>
    </row>
    <row r="54" spans="1:35">
      <c r="D54" s="431" t="s">
        <v>511</v>
      </c>
      <c r="E54" s="432"/>
    </row>
    <row r="55" spans="1:35">
      <c r="A55" s="24"/>
      <c r="B55" s="149"/>
      <c r="C55" s="24"/>
      <c r="D55" s="431" t="s">
        <v>512</v>
      </c>
      <c r="E55" s="432"/>
      <c r="F55" s="24"/>
    </row>
    <row r="56" spans="1:35">
      <c r="A56" s="24"/>
      <c r="B56" s="149"/>
      <c r="C56" s="326"/>
      <c r="D56" s="431" t="s">
        <v>513</v>
      </c>
      <c r="E56" s="432"/>
      <c r="F56" s="325"/>
      <c r="U56" s="103"/>
      <c r="V56" s="102" t="s">
        <v>369</v>
      </c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</row>
    <row r="57" spans="1:35">
      <c r="A57" s="24"/>
      <c r="B57" s="149"/>
      <c r="C57" s="326"/>
      <c r="D57" s="431" t="s">
        <v>514</v>
      </c>
      <c r="E57" s="432"/>
      <c r="F57" s="325"/>
      <c r="U57" s="103"/>
      <c r="V57" s="201" t="s">
        <v>370</v>
      </c>
      <c r="W57" s="105"/>
      <c r="X57" s="105"/>
      <c r="Y57" s="105"/>
      <c r="Z57" s="105"/>
      <c r="AA57" s="106"/>
      <c r="AB57" s="103"/>
      <c r="AC57" s="201" t="s">
        <v>11</v>
      </c>
      <c r="AD57" s="105"/>
      <c r="AE57" s="105"/>
      <c r="AF57" s="105"/>
      <c r="AG57" s="105"/>
      <c r="AH57" s="106"/>
      <c r="AI57" s="103"/>
    </row>
    <row r="58" spans="1:35">
      <c r="A58" s="24"/>
      <c r="B58" s="149"/>
      <c r="C58" s="326"/>
      <c r="D58" s="431" t="s">
        <v>515</v>
      </c>
      <c r="E58" s="431"/>
      <c r="F58" s="325"/>
      <c r="U58" s="103"/>
      <c r="V58" s="107"/>
      <c r="W58" s="108"/>
      <c r="X58" s="108"/>
      <c r="Y58" s="108"/>
      <c r="Z58" s="108"/>
      <c r="AA58" s="109"/>
      <c r="AB58" s="103"/>
      <c r="AC58" s="107"/>
      <c r="AD58" s="108"/>
      <c r="AE58" s="108"/>
      <c r="AF58" s="108"/>
      <c r="AG58" s="108"/>
      <c r="AH58" s="109"/>
      <c r="AI58" s="103"/>
    </row>
    <row r="59" spans="1:35" ht="15.75">
      <c r="A59" s="24"/>
      <c r="B59" s="149"/>
      <c r="C59" s="326"/>
      <c r="D59" s="431" t="s">
        <v>516</v>
      </c>
      <c r="E59" s="431"/>
      <c r="F59" s="325"/>
      <c r="U59" s="103"/>
      <c r="V59" s="337" t="s">
        <v>126</v>
      </c>
      <c r="W59" s="199">
        <v>1000</v>
      </c>
      <c r="X59" s="110" t="s">
        <v>22</v>
      </c>
      <c r="Y59" s="188">
        <v>-5</v>
      </c>
      <c r="Z59" s="108" t="s">
        <v>23</v>
      </c>
      <c r="AA59" s="109"/>
      <c r="AB59" s="103"/>
      <c r="AC59" s="337" t="s">
        <v>126</v>
      </c>
      <c r="AD59" s="199">
        <v>800</v>
      </c>
      <c r="AE59" s="110" t="s">
        <v>22</v>
      </c>
      <c r="AF59" s="188">
        <v>-2</v>
      </c>
      <c r="AG59" s="108" t="s">
        <v>23</v>
      </c>
      <c r="AH59" s="109"/>
      <c r="AI59" s="103"/>
    </row>
    <row r="60" spans="1:35">
      <c r="A60" s="149"/>
      <c r="B60" s="149"/>
      <c r="C60" s="327"/>
      <c r="D60" s="431" t="s">
        <v>517</v>
      </c>
      <c r="E60" s="431"/>
      <c r="F60" s="325"/>
      <c r="U60" s="103"/>
      <c r="V60" s="107"/>
      <c r="W60" s="108"/>
      <c r="X60" s="108"/>
      <c r="Y60" s="108"/>
      <c r="Z60" s="108"/>
      <c r="AA60" s="109"/>
      <c r="AB60" s="103"/>
      <c r="AC60" s="107"/>
      <c r="AD60" s="108"/>
      <c r="AE60" s="108"/>
      <c r="AF60" s="108"/>
      <c r="AG60" s="108"/>
      <c r="AH60" s="109"/>
      <c r="AI60" s="103"/>
    </row>
    <row r="61" spans="1:35" ht="15.75">
      <c r="U61" s="103"/>
      <c r="V61" s="107"/>
      <c r="W61" s="339" t="s">
        <v>341</v>
      </c>
      <c r="X61" s="108"/>
      <c r="Y61" s="339" t="s">
        <v>342</v>
      </c>
      <c r="Z61" s="108"/>
      <c r="AA61" s="109"/>
      <c r="AB61" s="103"/>
      <c r="AC61" s="107"/>
      <c r="AD61" s="339" t="s">
        <v>341</v>
      </c>
      <c r="AE61" s="108"/>
      <c r="AF61" s="339" t="s">
        <v>342</v>
      </c>
      <c r="AG61" s="108"/>
      <c r="AH61" s="109"/>
      <c r="AI61" s="103"/>
    </row>
    <row r="62" spans="1:35">
      <c r="U62" s="103"/>
      <c r="V62" s="107"/>
      <c r="W62" s="188">
        <v>10</v>
      </c>
      <c r="X62" s="108"/>
      <c r="Y62" s="188">
        <v>13</v>
      </c>
      <c r="Z62" s="108"/>
      <c r="AA62" s="109"/>
      <c r="AB62" s="103"/>
      <c r="AC62" s="107"/>
      <c r="AD62" s="188">
        <v>20</v>
      </c>
      <c r="AE62" s="108"/>
      <c r="AF62" s="188">
        <v>24</v>
      </c>
      <c r="AG62" s="108"/>
      <c r="AH62" s="109"/>
      <c r="AI62" s="103"/>
    </row>
    <row r="63" spans="1:35">
      <c r="U63" s="103"/>
      <c r="V63" s="366" t="s">
        <v>131</v>
      </c>
      <c r="W63" s="370">
        <f>(W62-W59)/(-2)</f>
        <v>495</v>
      </c>
      <c r="X63" s="371" t="s">
        <v>132</v>
      </c>
      <c r="Y63" s="370">
        <f>(Y62-W59)/(-2)</f>
        <v>493.5</v>
      </c>
      <c r="Z63" s="112"/>
      <c r="AA63" s="113"/>
      <c r="AB63" s="103"/>
      <c r="AC63" s="366" t="s">
        <v>131</v>
      </c>
      <c r="AD63" s="370">
        <f>(AD62-AD59)/(-2)</f>
        <v>390</v>
      </c>
      <c r="AE63" s="371" t="s">
        <v>132</v>
      </c>
      <c r="AF63" s="370">
        <f>(AF62-AD59)/(-2)</f>
        <v>388</v>
      </c>
      <c r="AG63" s="112"/>
      <c r="AH63" s="113"/>
      <c r="AI63" s="103"/>
    </row>
    <row r="64" spans="1:35"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</row>
    <row r="65" spans="21:35">
      <c r="U65" s="103"/>
      <c r="V65" s="103"/>
      <c r="W65" s="102" t="s">
        <v>346</v>
      </c>
      <c r="X65" s="103"/>
      <c r="Y65" s="103"/>
      <c r="Z65" s="103"/>
      <c r="AA65" s="103"/>
      <c r="AB65" s="103"/>
      <c r="AC65" s="103"/>
      <c r="AD65" s="102" t="s">
        <v>346</v>
      </c>
      <c r="AE65" s="103"/>
      <c r="AF65" s="103"/>
      <c r="AG65" s="103"/>
      <c r="AH65" s="103"/>
      <c r="AI65" s="103"/>
    </row>
    <row r="66" spans="21:35" ht="18.75">
      <c r="U66" s="103"/>
      <c r="V66" s="103"/>
      <c r="W66" s="102" t="s">
        <v>347</v>
      </c>
      <c r="X66" s="120" t="s">
        <v>148</v>
      </c>
      <c r="Y66" s="172">
        <f>((Y63-W63)/W63)/((Y62-W62)/W62)</f>
        <v>-1.0101010101010102E-2</v>
      </c>
      <c r="Z66" s="353"/>
      <c r="AA66" s="121"/>
      <c r="AB66" s="103"/>
      <c r="AC66" s="103"/>
      <c r="AD66" s="102" t="s">
        <v>347</v>
      </c>
      <c r="AE66" s="120" t="s">
        <v>142</v>
      </c>
      <c r="AF66" s="172">
        <f>((AF62-AD62)/AD62)/((AF59-AD59)/AD59)</f>
        <v>-0.19950124688279303</v>
      </c>
      <c r="AG66" s="353"/>
      <c r="AH66" s="121"/>
      <c r="AI66" s="103"/>
    </row>
    <row r="67" spans="21:35">
      <c r="U67" s="103"/>
      <c r="V67" s="103"/>
      <c r="W67" s="102" t="s">
        <v>368</v>
      </c>
      <c r="X67" s="103"/>
      <c r="Y67" s="103"/>
      <c r="Z67" s="103"/>
      <c r="AA67" s="103"/>
      <c r="AB67" s="103"/>
      <c r="AC67" s="103"/>
      <c r="AD67" s="102"/>
      <c r="AE67" s="103"/>
      <c r="AF67" s="103"/>
      <c r="AG67" s="103"/>
      <c r="AH67" s="103"/>
      <c r="AI67" s="103"/>
    </row>
    <row r="68" spans="21:35">
      <c r="U68" s="103"/>
      <c r="V68" s="103"/>
      <c r="W68" s="102" t="s">
        <v>347</v>
      </c>
      <c r="X68" s="131" t="s">
        <v>141</v>
      </c>
      <c r="Y68" s="103"/>
      <c r="Z68" s="103"/>
      <c r="AA68" s="103"/>
      <c r="AB68" s="129" t="s">
        <v>371</v>
      </c>
      <c r="AC68" s="103"/>
      <c r="AD68" s="102"/>
      <c r="AE68" s="103"/>
      <c r="AF68" s="172"/>
      <c r="AG68" s="103"/>
      <c r="AH68" s="103"/>
      <c r="AI68" s="103"/>
    </row>
    <row r="69" spans="21:35" ht="18.75">
      <c r="U69" s="103"/>
      <c r="V69" s="103"/>
      <c r="W69" s="103"/>
      <c r="X69" s="120" t="s">
        <v>142</v>
      </c>
      <c r="Y69" s="172">
        <f>((Y63-W63)/(0.5*(Y63+W63)))/((Y62-W62)/(0.5*(Y62+W62)))</f>
        <v>-1.163378856853819E-2</v>
      </c>
      <c r="Z69" s="103"/>
      <c r="AA69" s="103"/>
      <c r="AB69" s="103"/>
      <c r="AC69" s="102" t="s">
        <v>151</v>
      </c>
      <c r="AD69" s="103"/>
      <c r="AE69" s="103"/>
      <c r="AF69" s="103">
        <f>Y69*((Y62-W62)/W62)+(AF66*((AF62-AD62)/AD62))</f>
        <v>-4.3390385947120066E-2</v>
      </c>
      <c r="AG69" s="103"/>
      <c r="AH69" s="103"/>
      <c r="AI69" s="103"/>
    </row>
    <row r="70" spans="21:35">
      <c r="U70" s="103"/>
      <c r="V70" s="102" t="s">
        <v>365</v>
      </c>
      <c r="W70" s="103"/>
      <c r="X70" s="103"/>
      <c r="Y70" s="102" t="s">
        <v>139</v>
      </c>
      <c r="Z70" s="103">
        <f>(-1*W59)/(Y59+(-1)*-Y59)</f>
        <v>100</v>
      </c>
      <c r="AA70" s="103"/>
      <c r="AB70" s="103"/>
      <c r="AC70" s="103"/>
      <c r="AD70" s="103"/>
      <c r="AE70" s="103"/>
      <c r="AF70" s="102"/>
      <c r="AG70" s="103"/>
      <c r="AH70" s="103"/>
      <c r="AI70" s="103"/>
    </row>
    <row r="71" spans="21:35">
      <c r="U71" s="103"/>
      <c r="V71" s="82"/>
      <c r="W71" s="82"/>
      <c r="X71" s="82"/>
      <c r="Y71" s="82"/>
      <c r="Z71" s="103"/>
      <c r="AA71" s="103"/>
      <c r="AB71" s="103"/>
      <c r="AC71" s="82"/>
      <c r="AD71" s="82"/>
      <c r="AE71" s="82"/>
      <c r="AF71" s="82"/>
      <c r="AG71" s="103"/>
      <c r="AH71" s="103"/>
      <c r="AI71" s="103"/>
    </row>
    <row r="81" spans="18:22">
      <c r="R81" s="24"/>
      <c r="S81" s="24"/>
      <c r="T81" s="24"/>
      <c r="U81" s="24"/>
      <c r="V81" s="24"/>
    </row>
    <row r="82" spans="18:22">
      <c r="R82" s="33"/>
      <c r="S82" s="24"/>
      <c r="T82" s="24"/>
      <c r="U82" s="24"/>
      <c r="V82" s="24"/>
    </row>
    <row r="83" spans="18:22">
      <c r="R83" s="24"/>
      <c r="S83" s="24"/>
      <c r="T83" s="24"/>
      <c r="U83" s="24"/>
      <c r="V83" s="2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S55"/>
  <sheetViews>
    <sheetView topLeftCell="A22" zoomScale="90" zoomScaleNormal="90" workbookViewId="0">
      <selection activeCell="J47" sqref="J47:K55"/>
    </sheetView>
  </sheetViews>
  <sheetFormatPr defaultRowHeight="12.75"/>
  <cols>
    <col min="12" max="12" width="12.140625" customWidth="1"/>
    <col min="17" max="17" width="11" customWidth="1"/>
    <col min="20" max="20" width="12.28515625" customWidth="1"/>
  </cols>
  <sheetData>
    <row r="1" spans="1:45" ht="15">
      <c r="B1" s="103"/>
      <c r="C1" s="103"/>
      <c r="D1" s="103"/>
      <c r="E1" s="129"/>
      <c r="F1" s="129" t="s">
        <v>112</v>
      </c>
      <c r="G1" s="151"/>
      <c r="H1" s="151"/>
      <c r="I1" s="151"/>
      <c r="J1" s="151"/>
      <c r="K1" s="151"/>
      <c r="L1" s="151"/>
      <c r="M1" s="152"/>
      <c r="N1" s="103"/>
      <c r="O1" s="102" t="s">
        <v>1</v>
      </c>
      <c r="P1" s="103"/>
      <c r="Q1" s="103"/>
      <c r="R1" s="103"/>
      <c r="S1" s="103"/>
      <c r="T1" s="103"/>
      <c r="U1" s="103"/>
      <c r="V1" s="103"/>
      <c r="W1" s="103"/>
    </row>
    <row r="2" spans="1:45" ht="15.75">
      <c r="B2" s="103"/>
      <c r="C2" s="103"/>
      <c r="D2" s="153" t="s">
        <v>372</v>
      </c>
      <c r="E2" s="103"/>
      <c r="F2" s="103"/>
      <c r="G2" s="151"/>
      <c r="H2" s="151"/>
      <c r="I2" s="151"/>
      <c r="J2" s="151"/>
      <c r="K2" s="152"/>
      <c r="L2" s="152"/>
      <c r="M2" s="152"/>
      <c r="N2" s="103"/>
      <c r="O2" s="102" t="s">
        <v>43</v>
      </c>
      <c r="P2" s="103"/>
      <c r="Q2" s="103"/>
      <c r="R2" s="103"/>
      <c r="S2" s="103"/>
      <c r="T2" s="103"/>
      <c r="U2" s="103"/>
      <c r="V2" s="103"/>
      <c r="W2" s="103"/>
    </row>
    <row r="3" spans="1:45">
      <c r="B3" s="154" t="s">
        <v>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45">
      <c r="V4" s="24"/>
      <c r="AH4" t="s">
        <v>123</v>
      </c>
      <c r="AI4">
        <v>0</v>
      </c>
      <c r="AJ4" t="s">
        <v>120</v>
      </c>
      <c r="AK4">
        <f>L8+N8*AI4</f>
        <v>320</v>
      </c>
    </row>
    <row r="5" spans="1:45">
      <c r="A5" s="103" t="s">
        <v>6</v>
      </c>
      <c r="B5" s="82"/>
      <c r="C5" s="82"/>
      <c r="D5" s="82" t="s">
        <v>374</v>
      </c>
      <c r="E5" s="82" t="s">
        <v>376</v>
      </c>
      <c r="F5" s="82" t="s">
        <v>377</v>
      </c>
      <c r="G5" s="103"/>
      <c r="J5" s="121" t="s">
        <v>8</v>
      </c>
      <c r="K5" s="103"/>
      <c r="L5" s="103"/>
      <c r="M5" s="103"/>
      <c r="N5" s="103"/>
      <c r="O5" s="103"/>
      <c r="P5" s="103"/>
      <c r="Q5" s="103"/>
      <c r="V5" s="24"/>
      <c r="AH5" t="s">
        <v>123</v>
      </c>
      <c r="AI5">
        <f>L8/-N8</f>
        <v>8000</v>
      </c>
      <c r="AJ5" t="s">
        <v>120</v>
      </c>
      <c r="AK5">
        <v>0</v>
      </c>
    </row>
    <row r="6" spans="1:45">
      <c r="A6" s="103"/>
      <c r="B6" s="82" t="s">
        <v>353</v>
      </c>
      <c r="C6" s="82" t="s">
        <v>373</v>
      </c>
      <c r="D6" s="82" t="s">
        <v>375</v>
      </c>
      <c r="E6" s="82" t="s">
        <v>375</v>
      </c>
      <c r="F6" s="82" t="s">
        <v>375</v>
      </c>
      <c r="G6" s="103"/>
      <c r="J6" s="103"/>
      <c r="K6" s="108" t="s">
        <v>381</v>
      </c>
      <c r="L6" s="108"/>
      <c r="M6" s="108"/>
      <c r="N6" s="108"/>
      <c r="O6" s="108"/>
      <c r="P6" s="108"/>
      <c r="Q6" s="103"/>
      <c r="U6" s="24"/>
      <c r="V6" s="24"/>
      <c r="AH6" s="90" t="s">
        <v>420</v>
      </c>
    </row>
    <row r="7" spans="1:45">
      <c r="A7" s="103"/>
      <c r="B7" s="82" t="s">
        <v>23</v>
      </c>
      <c r="C7" s="82" t="s">
        <v>144</v>
      </c>
      <c r="D7" s="82" t="s">
        <v>152</v>
      </c>
      <c r="E7" s="82" t="s">
        <v>153</v>
      </c>
      <c r="F7" s="82" t="s">
        <v>154</v>
      </c>
      <c r="G7" s="103"/>
      <c r="J7" s="103"/>
      <c r="K7" s="108"/>
      <c r="L7" s="108"/>
      <c r="M7" s="108"/>
      <c r="N7" s="108"/>
      <c r="O7" s="108"/>
      <c r="P7" s="108"/>
      <c r="Q7" s="103"/>
      <c r="U7" s="24"/>
      <c r="V7" s="24"/>
      <c r="AH7" t="s">
        <v>155</v>
      </c>
      <c r="AI7">
        <v>0</v>
      </c>
      <c r="AJ7">
        <f>$AI$4+$AI$5*0.1</f>
        <v>800</v>
      </c>
      <c r="AK7">
        <f>$AI$4+$AI$5*0.2</f>
        <v>1600</v>
      </c>
      <c r="AL7">
        <f>$AI$4+$AI$5*0.3</f>
        <v>2400</v>
      </c>
      <c r="AM7">
        <f>$AI$4+$AI$5*0.4</f>
        <v>3200</v>
      </c>
      <c r="AN7">
        <f>$AI$4+$AI$5*0.5</f>
        <v>4000</v>
      </c>
      <c r="AO7">
        <f>$AI$4+$AI$5*0.6</f>
        <v>4800</v>
      </c>
      <c r="AP7">
        <f>$AI$4+$AI$5*0.7</f>
        <v>5600</v>
      </c>
      <c r="AQ7">
        <f>$AI$4+$AI$5*0.8</f>
        <v>6400</v>
      </c>
      <c r="AR7">
        <f>$AI$4+$AI$5*0.9</f>
        <v>7200</v>
      </c>
      <c r="AS7">
        <f>$AI$4+$AI$5*1</f>
        <v>8000</v>
      </c>
    </row>
    <row r="8" spans="1:45">
      <c r="A8" s="103"/>
      <c r="B8" s="150">
        <v>8</v>
      </c>
      <c r="C8" s="150">
        <v>0</v>
      </c>
      <c r="D8" s="82">
        <f>B8*C8</f>
        <v>0</v>
      </c>
      <c r="E8" s="82"/>
      <c r="F8" s="82"/>
      <c r="G8" s="103"/>
      <c r="J8" s="103"/>
      <c r="K8" s="211" t="s">
        <v>120</v>
      </c>
      <c r="L8" s="199">
        <v>320</v>
      </c>
      <c r="M8" s="110" t="s">
        <v>22</v>
      </c>
      <c r="N8" s="188">
        <v>-0.04</v>
      </c>
      <c r="O8" s="108" t="s">
        <v>144</v>
      </c>
      <c r="P8" s="108"/>
      <c r="Q8" s="103"/>
      <c r="U8" s="24"/>
      <c r="V8" s="24"/>
      <c r="AH8" t="s">
        <v>23</v>
      </c>
      <c r="AI8">
        <f t="shared" ref="AI8:AS8" si="0">$L$8+$N$8*AI7</f>
        <v>320</v>
      </c>
      <c r="AJ8">
        <f t="shared" si="0"/>
        <v>288</v>
      </c>
      <c r="AK8">
        <f t="shared" si="0"/>
        <v>256</v>
      </c>
      <c r="AL8">
        <f t="shared" si="0"/>
        <v>224</v>
      </c>
      <c r="AM8">
        <f t="shared" si="0"/>
        <v>192</v>
      </c>
      <c r="AN8">
        <f t="shared" si="0"/>
        <v>160</v>
      </c>
      <c r="AO8">
        <f t="shared" si="0"/>
        <v>128</v>
      </c>
      <c r="AP8">
        <f t="shared" si="0"/>
        <v>96</v>
      </c>
      <c r="AQ8">
        <f t="shared" si="0"/>
        <v>64</v>
      </c>
      <c r="AR8">
        <f t="shared" si="0"/>
        <v>32</v>
      </c>
      <c r="AS8">
        <f t="shared" si="0"/>
        <v>0</v>
      </c>
    </row>
    <row r="9" spans="1:45">
      <c r="A9" s="103"/>
      <c r="B9" s="150">
        <v>7</v>
      </c>
      <c r="C9" s="150">
        <v>1</v>
      </c>
      <c r="D9" s="82">
        <f t="shared" ref="D9:D15" si="1">B9*C9</f>
        <v>7</v>
      </c>
      <c r="E9" s="82">
        <f t="shared" ref="E9:E15" si="2">(B9*C9)/C9</f>
        <v>7</v>
      </c>
      <c r="F9" s="82">
        <f>(D9-D8)/(C9-C8)</f>
        <v>7</v>
      </c>
      <c r="G9" s="103"/>
      <c r="J9" s="103"/>
      <c r="K9" s="108"/>
      <c r="L9" s="108"/>
      <c r="M9" s="108"/>
      <c r="N9" s="108"/>
      <c r="O9" s="108"/>
      <c r="P9" s="108"/>
      <c r="Q9" s="103"/>
      <c r="U9" s="24"/>
      <c r="V9" s="24"/>
      <c r="AH9" t="s">
        <v>152</v>
      </c>
      <c r="AI9">
        <f t="shared" ref="AI9:AR9" si="3">$L$13*AI7+$O$13*(AI7)^2</f>
        <v>0</v>
      </c>
      <c r="AJ9">
        <f t="shared" si="3"/>
        <v>230400</v>
      </c>
      <c r="AK9">
        <f t="shared" si="3"/>
        <v>409600</v>
      </c>
      <c r="AL9">
        <f t="shared" si="3"/>
        <v>537600</v>
      </c>
      <c r="AM9">
        <f t="shared" si="3"/>
        <v>614400</v>
      </c>
      <c r="AN9">
        <f t="shared" si="3"/>
        <v>640000</v>
      </c>
      <c r="AO9">
        <f t="shared" si="3"/>
        <v>614400</v>
      </c>
      <c r="AP9">
        <f t="shared" si="3"/>
        <v>537600</v>
      </c>
      <c r="AQ9">
        <f t="shared" si="3"/>
        <v>409600</v>
      </c>
      <c r="AR9">
        <f t="shared" si="3"/>
        <v>230400</v>
      </c>
    </row>
    <row r="10" spans="1:45">
      <c r="A10" s="103"/>
      <c r="B10" s="150">
        <v>6</v>
      </c>
      <c r="C10" s="150">
        <v>2</v>
      </c>
      <c r="D10" s="82">
        <f t="shared" si="1"/>
        <v>12</v>
      </c>
      <c r="E10" s="82">
        <f t="shared" si="2"/>
        <v>6</v>
      </c>
      <c r="F10" s="82">
        <f t="shared" ref="F10:F15" si="4">(D10-D9)/(C10-C9)</f>
        <v>5</v>
      </c>
      <c r="G10" s="103"/>
      <c r="J10" s="103"/>
      <c r="K10" s="129" t="s">
        <v>378</v>
      </c>
      <c r="L10" s="103"/>
      <c r="M10" s="103"/>
      <c r="N10" s="103"/>
      <c r="O10" s="103"/>
      <c r="P10" s="103"/>
      <c r="Q10" s="103"/>
      <c r="U10" s="24"/>
      <c r="V10" s="24"/>
    </row>
    <row r="11" spans="1:45">
      <c r="A11" s="103"/>
      <c r="B11" s="150">
        <v>5</v>
      </c>
      <c r="C11" s="150">
        <v>3</v>
      </c>
      <c r="D11" s="82">
        <f t="shared" si="1"/>
        <v>15</v>
      </c>
      <c r="E11" s="82">
        <f t="shared" si="2"/>
        <v>5</v>
      </c>
      <c r="F11" s="82">
        <f t="shared" si="4"/>
        <v>3</v>
      </c>
      <c r="G11" s="103"/>
      <c r="J11" s="103"/>
      <c r="K11" s="417" t="s">
        <v>156</v>
      </c>
      <c r="L11" s="82" t="s">
        <v>157</v>
      </c>
      <c r="M11" s="82">
        <f>L8</f>
        <v>320</v>
      </c>
      <c r="N11" s="82" t="s">
        <v>22</v>
      </c>
      <c r="O11" s="103">
        <f>N8</f>
        <v>-0.04</v>
      </c>
      <c r="P11" s="103" t="s">
        <v>158</v>
      </c>
      <c r="Q11" s="103"/>
      <c r="U11" s="24"/>
      <c r="V11" s="24"/>
      <c r="AK11" s="90" t="s">
        <v>421</v>
      </c>
    </row>
    <row r="12" spans="1:45">
      <c r="A12" s="103"/>
      <c r="B12" s="150">
        <v>4</v>
      </c>
      <c r="C12" s="150">
        <v>4</v>
      </c>
      <c r="D12" s="82">
        <f t="shared" si="1"/>
        <v>16</v>
      </c>
      <c r="E12" s="82">
        <f t="shared" si="2"/>
        <v>4</v>
      </c>
      <c r="F12" s="82">
        <f t="shared" si="4"/>
        <v>1</v>
      </c>
      <c r="G12" s="103"/>
      <c r="J12" s="103"/>
      <c r="K12" s="103"/>
      <c r="L12" s="103"/>
      <c r="M12" s="103"/>
      <c r="N12" s="103"/>
      <c r="O12" s="103"/>
      <c r="P12" s="103"/>
      <c r="Q12" s="103"/>
      <c r="U12" s="24"/>
      <c r="V12" s="24"/>
      <c r="AK12">
        <f>M25</f>
        <v>4000</v>
      </c>
    </row>
    <row r="13" spans="1:45">
      <c r="A13" s="103"/>
      <c r="B13" s="150">
        <v>3</v>
      </c>
      <c r="C13" s="150">
        <v>5</v>
      </c>
      <c r="D13" s="82">
        <f t="shared" si="1"/>
        <v>15</v>
      </c>
      <c r="E13" s="82">
        <f t="shared" si="2"/>
        <v>3</v>
      </c>
      <c r="F13" s="82">
        <f t="shared" si="4"/>
        <v>-1</v>
      </c>
      <c r="G13" s="103"/>
      <c r="J13" s="92" t="s">
        <v>7</v>
      </c>
      <c r="K13" s="82" t="s">
        <v>159</v>
      </c>
      <c r="L13" s="103">
        <f>M11</f>
        <v>320</v>
      </c>
      <c r="M13" s="103" t="s">
        <v>160</v>
      </c>
      <c r="N13" s="82" t="s">
        <v>22</v>
      </c>
      <c r="O13" s="82">
        <f>O11</f>
        <v>-0.04</v>
      </c>
      <c r="P13" s="103" t="s">
        <v>161</v>
      </c>
      <c r="Q13" s="103"/>
      <c r="U13" s="24"/>
      <c r="V13" s="24"/>
      <c r="AK13">
        <f>M27</f>
        <v>640000</v>
      </c>
    </row>
    <row r="14" spans="1:45">
      <c r="A14" s="103"/>
      <c r="B14" s="150">
        <v>2</v>
      </c>
      <c r="C14" s="150">
        <v>6</v>
      </c>
      <c r="D14" s="82">
        <f t="shared" si="1"/>
        <v>12</v>
      </c>
      <c r="E14" s="82">
        <f t="shared" si="2"/>
        <v>2</v>
      </c>
      <c r="F14" s="82">
        <f t="shared" si="4"/>
        <v>-3</v>
      </c>
      <c r="G14" s="103"/>
      <c r="J14" s="103"/>
      <c r="K14" s="103"/>
      <c r="L14" s="103"/>
      <c r="M14" s="103"/>
      <c r="N14" s="103"/>
      <c r="O14" s="103"/>
      <c r="P14" s="103"/>
      <c r="Q14" s="103"/>
      <c r="U14" s="24"/>
      <c r="V14" s="24"/>
    </row>
    <row r="15" spans="1:45" ht="15.75">
      <c r="A15" s="103"/>
      <c r="B15" s="150">
        <v>1</v>
      </c>
      <c r="C15" s="150">
        <v>7</v>
      </c>
      <c r="D15" s="82">
        <f t="shared" si="1"/>
        <v>7</v>
      </c>
      <c r="E15" s="82">
        <f t="shared" si="2"/>
        <v>1</v>
      </c>
      <c r="F15" s="82">
        <f t="shared" si="4"/>
        <v>-5</v>
      </c>
      <c r="G15" s="103"/>
      <c r="J15" s="108"/>
      <c r="K15" s="339" t="s">
        <v>341</v>
      </c>
      <c r="L15" s="108"/>
      <c r="M15" s="339" t="s">
        <v>342</v>
      </c>
      <c r="N15" s="103"/>
      <c r="O15" s="108"/>
      <c r="P15" s="103"/>
      <c r="Q15" s="103"/>
      <c r="U15" s="24"/>
      <c r="V15" s="24"/>
    </row>
    <row r="16" spans="1:45">
      <c r="A16" s="103"/>
      <c r="B16" s="103"/>
      <c r="C16" s="103"/>
      <c r="D16" s="103"/>
      <c r="E16" s="103"/>
      <c r="F16" s="103"/>
      <c r="G16" s="103"/>
      <c r="J16" s="108"/>
      <c r="K16" s="188">
        <v>160</v>
      </c>
      <c r="L16" s="108"/>
      <c r="M16" s="188">
        <v>80</v>
      </c>
      <c r="N16" s="103"/>
      <c r="O16" s="103"/>
      <c r="P16" s="103"/>
      <c r="Q16" s="103"/>
      <c r="R16" s="24"/>
      <c r="U16" s="24"/>
      <c r="V16" s="24"/>
    </row>
    <row r="17" spans="10:22">
      <c r="J17" s="384" t="s">
        <v>131</v>
      </c>
      <c r="K17" s="385">
        <f>(K16/N8)-(L8/N8)</f>
        <v>4000</v>
      </c>
      <c r="L17" s="384" t="s">
        <v>132</v>
      </c>
      <c r="M17" s="385">
        <f>(M16/N8)-(L8/N8)</f>
        <v>6000</v>
      </c>
      <c r="N17" s="103"/>
      <c r="O17" s="103"/>
      <c r="P17" s="103"/>
      <c r="Q17" s="103"/>
      <c r="R17" s="356" t="s">
        <v>143</v>
      </c>
      <c r="U17" s="24"/>
      <c r="V17" s="24"/>
    </row>
    <row r="18" spans="10:22">
      <c r="J18" s="103"/>
      <c r="K18" s="103"/>
      <c r="L18" s="103"/>
      <c r="M18" s="103"/>
      <c r="N18" s="103"/>
      <c r="O18" s="103"/>
      <c r="P18" s="103"/>
      <c r="Q18" s="103"/>
      <c r="R18" s="24"/>
      <c r="U18" s="24"/>
      <c r="V18" s="24"/>
    </row>
    <row r="19" spans="10:22" ht="24" customHeight="1">
      <c r="J19" s="418" t="s">
        <v>162</v>
      </c>
      <c r="K19" s="418">
        <f>K16*K17</f>
        <v>640000</v>
      </c>
      <c r="L19" s="419"/>
      <c r="M19" s="418" t="s">
        <v>163</v>
      </c>
      <c r="N19" s="418">
        <f>M16*M17</f>
        <v>480000</v>
      </c>
      <c r="O19" s="94" t="s">
        <v>7</v>
      </c>
      <c r="P19" s="103"/>
      <c r="Q19" s="103"/>
      <c r="R19" s="24"/>
      <c r="U19" s="24"/>
    </row>
    <row r="20" spans="10:22" ht="24" customHeight="1">
      <c r="J20" s="419"/>
      <c r="K20" s="419">
        <f>L13*K17+O13*K17^2</f>
        <v>640000</v>
      </c>
      <c r="L20" s="419"/>
      <c r="M20" s="419"/>
      <c r="N20" s="419">
        <f>L13*M17+O13*M17^2</f>
        <v>480000</v>
      </c>
      <c r="O20" s="103"/>
      <c r="P20" s="103"/>
      <c r="Q20" s="103"/>
      <c r="U20" s="24"/>
    </row>
    <row r="21" spans="10:22" ht="24" customHeight="1">
      <c r="J21" s="419"/>
      <c r="K21" s="419"/>
      <c r="L21" s="418" t="s">
        <v>135</v>
      </c>
      <c r="M21" s="418">
        <f>N20-K20</f>
        <v>-160000</v>
      </c>
      <c r="N21" s="419"/>
      <c r="O21" s="103"/>
      <c r="P21" s="103"/>
      <c r="Q21" s="103"/>
      <c r="U21" s="24"/>
    </row>
    <row r="22" spans="10:22">
      <c r="J22" s="103"/>
      <c r="K22" s="103"/>
      <c r="L22" s="103"/>
      <c r="M22" s="103"/>
      <c r="N22" s="103"/>
      <c r="O22" s="103"/>
      <c r="P22" s="103"/>
      <c r="Q22" s="103"/>
      <c r="U22" s="24"/>
    </row>
    <row r="23" spans="10:22">
      <c r="J23" s="129" t="s">
        <v>379</v>
      </c>
      <c r="K23" s="103"/>
      <c r="L23" s="103"/>
      <c r="M23" s="103"/>
      <c r="N23" s="103"/>
      <c r="O23" s="103"/>
      <c r="P23" s="103"/>
      <c r="Q23" s="103"/>
    </row>
    <row r="24" spans="10:22">
      <c r="J24" s="417" t="s">
        <v>164</v>
      </c>
      <c r="K24" s="103">
        <f>L13</f>
        <v>320</v>
      </c>
      <c r="L24" s="82" t="s">
        <v>22</v>
      </c>
      <c r="M24" s="103">
        <f>2*O13</f>
        <v>-0.08</v>
      </c>
      <c r="N24" s="103" t="s">
        <v>144</v>
      </c>
      <c r="O24" s="103"/>
      <c r="P24" s="103"/>
      <c r="Q24" s="103"/>
    </row>
    <row r="25" spans="10:22">
      <c r="J25" s="417" t="s">
        <v>164</v>
      </c>
      <c r="K25" s="82">
        <v>0</v>
      </c>
      <c r="L25" s="417" t="s">
        <v>165</v>
      </c>
      <c r="M25" s="129">
        <f>K24/(-M24)</f>
        <v>4000</v>
      </c>
      <c r="N25" s="103"/>
      <c r="O25" s="92" t="s">
        <v>7</v>
      </c>
      <c r="P25" s="103"/>
      <c r="Q25" s="103"/>
    </row>
    <row r="26" spans="10:22">
      <c r="J26" s="103"/>
      <c r="K26" s="103"/>
      <c r="L26" s="103"/>
      <c r="M26" s="103"/>
      <c r="N26" s="103"/>
      <c r="O26" s="103"/>
      <c r="P26" s="103"/>
      <c r="Q26" s="103"/>
    </row>
    <row r="27" spans="10:22">
      <c r="J27" s="167" t="s">
        <v>166</v>
      </c>
      <c r="K27" s="103">
        <f>M25</f>
        <v>4000</v>
      </c>
      <c r="L27" s="103" t="s">
        <v>167</v>
      </c>
      <c r="M27" s="103">
        <f>L13*M25+O13*(M25)^2</f>
        <v>640000</v>
      </c>
      <c r="N27" s="103"/>
      <c r="O27" s="103"/>
      <c r="P27" s="103"/>
      <c r="Q27" s="103"/>
    </row>
    <row r="28" spans="10:22">
      <c r="J28" s="103"/>
      <c r="K28" s="103"/>
      <c r="L28" s="103"/>
      <c r="M28" s="103"/>
      <c r="N28" s="103"/>
      <c r="O28" s="102" t="s">
        <v>380</v>
      </c>
      <c r="P28" s="103"/>
      <c r="Q28" s="103"/>
    </row>
    <row r="29" spans="10:22" ht="14.25">
      <c r="J29" s="103"/>
      <c r="K29" s="103"/>
      <c r="L29" s="103"/>
      <c r="M29" s="103"/>
      <c r="N29" s="103"/>
      <c r="O29" s="102" t="s">
        <v>347</v>
      </c>
      <c r="P29" s="166" t="s">
        <v>168</v>
      </c>
      <c r="Q29" s="172">
        <f>((M17-K17)/K17)/((M16-K16)/K16)</f>
        <v>-1</v>
      </c>
      <c r="R29" s="92" t="s">
        <v>7</v>
      </c>
    </row>
    <row r="30" spans="10:22">
      <c r="J30" s="103"/>
      <c r="K30" s="103"/>
      <c r="L30" s="103"/>
      <c r="M30" s="103"/>
      <c r="N30" s="103"/>
      <c r="O30" s="102" t="s">
        <v>368</v>
      </c>
      <c r="P30" s="103"/>
      <c r="Q30" s="103"/>
    </row>
    <row r="31" spans="10:22">
      <c r="J31" s="103"/>
      <c r="K31" s="103"/>
      <c r="L31" s="103"/>
      <c r="M31" s="103"/>
      <c r="N31" s="103"/>
      <c r="O31" s="102" t="s">
        <v>347</v>
      </c>
      <c r="P31" s="131" t="s">
        <v>141</v>
      </c>
      <c r="Q31" s="103"/>
      <c r="U31" s="24"/>
    </row>
    <row r="32" spans="10:22" ht="18.75">
      <c r="J32" s="103"/>
      <c r="K32" s="103"/>
      <c r="L32" s="103"/>
      <c r="M32" s="103"/>
      <c r="N32" s="103"/>
      <c r="O32" s="103"/>
      <c r="P32" s="120" t="s">
        <v>142</v>
      </c>
      <c r="Q32" s="172">
        <f>((M17-K17)/(0.5*(M17+K17)))/((M16-K16)/(0.5*(M16+K16)))</f>
        <v>-0.60000000000000009</v>
      </c>
      <c r="U32" s="24"/>
    </row>
    <row r="33" spans="10:21" ht="15.75">
      <c r="J33" s="103"/>
      <c r="K33" s="103"/>
      <c r="L33" s="103"/>
      <c r="M33" s="103"/>
      <c r="N33" s="103"/>
      <c r="O33" s="102" t="s">
        <v>507</v>
      </c>
      <c r="P33" s="103"/>
      <c r="Q33" s="116">
        <f>((K16+M16)/2)*(1-(1/-Q32))</f>
        <v>-79.999999999999986</v>
      </c>
      <c r="U33" s="24"/>
    </row>
    <row r="34" spans="10:21">
      <c r="U34" s="24"/>
    </row>
    <row r="40" spans="10:21">
      <c r="L40" s="326" t="s">
        <v>99</v>
      </c>
      <c r="M40" s="326"/>
      <c r="N40" s="326"/>
    </row>
    <row r="41" spans="10:21">
      <c r="L41" s="326" t="s">
        <v>100</v>
      </c>
      <c r="M41" s="326"/>
      <c r="N41" s="326"/>
    </row>
    <row r="42" spans="10:21">
      <c r="L42" s="326" t="s">
        <v>103</v>
      </c>
      <c r="M42" s="326"/>
      <c r="N42" s="326"/>
    </row>
    <row r="43" spans="10:21">
      <c r="L43" s="326" t="s">
        <v>106</v>
      </c>
      <c r="M43" s="326"/>
      <c r="N43" s="326"/>
    </row>
    <row r="44" spans="10:21">
      <c r="L44" s="327" t="s">
        <v>107</v>
      </c>
      <c r="M44" s="326"/>
      <c r="N44" s="326"/>
    </row>
    <row r="47" spans="10:21">
      <c r="J47" s="430" t="s">
        <v>518</v>
      </c>
      <c r="K47" s="103"/>
    </row>
    <row r="48" spans="10:21">
      <c r="J48" s="431" t="s">
        <v>510</v>
      </c>
      <c r="K48" s="432"/>
    </row>
    <row r="49" spans="10:11">
      <c r="J49" s="431" t="s">
        <v>511</v>
      </c>
      <c r="K49" s="432"/>
    </row>
    <row r="50" spans="10:11">
      <c r="J50" s="431" t="s">
        <v>512</v>
      </c>
      <c r="K50" s="432"/>
    </row>
    <row r="51" spans="10:11">
      <c r="J51" s="431" t="s">
        <v>513</v>
      </c>
      <c r="K51" s="432"/>
    </row>
    <row r="52" spans="10:11">
      <c r="J52" s="431" t="s">
        <v>514</v>
      </c>
      <c r="K52" s="432"/>
    </row>
    <row r="53" spans="10:11">
      <c r="J53" s="431" t="s">
        <v>515</v>
      </c>
      <c r="K53" s="431"/>
    </row>
    <row r="54" spans="10:11">
      <c r="J54" s="431" t="s">
        <v>516</v>
      </c>
      <c r="K54" s="431"/>
    </row>
    <row r="55" spans="10:11">
      <c r="J55" s="431" t="s">
        <v>517</v>
      </c>
      <c r="K55" s="43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32"/>
  <sheetViews>
    <sheetView topLeftCell="A99" zoomScale="80" zoomScaleNormal="80" workbookViewId="0">
      <selection activeCell="A124" sqref="A124:B132"/>
    </sheetView>
  </sheetViews>
  <sheetFormatPr defaultRowHeight="12.75"/>
  <cols>
    <col min="1" max="1" width="13.140625" customWidth="1"/>
    <col min="2" max="2" width="13.42578125" customWidth="1"/>
    <col min="5" max="5" width="12.7109375" customWidth="1"/>
    <col min="8" max="8" width="11.140625" customWidth="1"/>
    <col min="9" max="9" width="14.5703125" customWidth="1"/>
    <col min="11" max="11" width="11.140625" customWidth="1"/>
    <col min="12" max="12" width="9.85546875" customWidth="1"/>
    <col min="13" max="13" width="7.140625" customWidth="1"/>
    <col min="14" max="14" width="7.7109375" customWidth="1"/>
    <col min="15" max="15" width="6.85546875" customWidth="1"/>
    <col min="16" max="16" width="11.28515625" customWidth="1"/>
    <col min="17" max="17" width="6.28515625" customWidth="1"/>
    <col min="18" max="18" width="11.5703125" customWidth="1"/>
    <col min="19" max="19" width="12" customWidth="1"/>
    <col min="23" max="23" width="9.85546875" bestFit="1" customWidth="1"/>
  </cols>
  <sheetData>
    <row r="1" spans="1:47" ht="15">
      <c r="B1" s="103"/>
      <c r="C1" s="103"/>
      <c r="D1" s="103"/>
      <c r="E1" s="129"/>
      <c r="F1" s="129" t="s">
        <v>112</v>
      </c>
      <c r="G1" s="151"/>
      <c r="H1" s="151"/>
      <c r="I1" s="151"/>
      <c r="J1" s="151"/>
      <c r="K1" s="151"/>
      <c r="L1" s="151"/>
      <c r="M1" s="152"/>
      <c r="N1" s="103"/>
      <c r="O1" s="103"/>
      <c r="P1" s="103"/>
      <c r="Q1" s="102" t="s">
        <v>1</v>
      </c>
      <c r="R1" s="103"/>
      <c r="S1" s="103"/>
      <c r="T1" s="103"/>
      <c r="U1" s="103"/>
      <c r="V1" s="103"/>
      <c r="W1" s="103"/>
      <c r="X1" s="103"/>
      <c r="Y1" s="103"/>
    </row>
    <row r="2" spans="1:47" ht="15.75">
      <c r="B2" s="103"/>
      <c r="C2" s="103"/>
      <c r="D2" s="153" t="s">
        <v>169</v>
      </c>
      <c r="E2" s="103"/>
      <c r="F2" s="103"/>
      <c r="G2" s="151"/>
      <c r="H2" s="151"/>
      <c r="I2" s="151"/>
      <c r="J2" s="151"/>
      <c r="K2" s="152"/>
      <c r="L2" s="152"/>
      <c r="M2" s="152"/>
      <c r="N2" s="103"/>
      <c r="O2" s="103"/>
      <c r="P2" s="103"/>
      <c r="Q2" s="102" t="s">
        <v>43</v>
      </c>
      <c r="R2" s="103"/>
      <c r="S2" s="103"/>
      <c r="T2" s="103"/>
      <c r="U2" s="103"/>
      <c r="V2" s="103"/>
      <c r="W2" s="103"/>
      <c r="X2" s="103"/>
      <c r="Y2" s="103"/>
      <c r="AI2" s="24"/>
    </row>
    <row r="3" spans="1:47">
      <c r="B3" s="154" t="s">
        <v>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AF3" s="101" t="s">
        <v>427</v>
      </c>
      <c r="AG3" s="24"/>
      <c r="AH3" s="24"/>
      <c r="AI3" s="24"/>
      <c r="AJ3" s="24"/>
      <c r="AK3" s="24"/>
      <c r="AL3" s="24"/>
      <c r="AO3" s="90" t="s">
        <v>428</v>
      </c>
    </row>
    <row r="4" spans="1:47">
      <c r="AF4" s="32" t="s">
        <v>170</v>
      </c>
      <c r="AG4" s="32" t="s">
        <v>171</v>
      </c>
      <c r="AH4" s="32" t="s">
        <v>172</v>
      </c>
      <c r="AI4" s="32" t="s">
        <v>173</v>
      </c>
      <c r="AJ4" s="32" t="s">
        <v>174</v>
      </c>
      <c r="AK4" s="32" t="s">
        <v>175</v>
      </c>
      <c r="AL4" s="32" t="s">
        <v>176</v>
      </c>
      <c r="AO4" t="s">
        <v>177</v>
      </c>
      <c r="AP4" t="s">
        <v>178</v>
      </c>
      <c r="AQ4" t="s">
        <v>179</v>
      </c>
      <c r="AR4" t="s">
        <v>180</v>
      </c>
      <c r="AS4" t="s">
        <v>181</v>
      </c>
      <c r="AT4" t="s">
        <v>182</v>
      </c>
      <c r="AU4" t="s">
        <v>183</v>
      </c>
    </row>
    <row r="5" spans="1:47" ht="13.5" thickBot="1">
      <c r="AA5" s="24"/>
      <c r="AB5" s="24"/>
      <c r="AC5" s="24"/>
      <c r="AF5" s="85">
        <f>M10</f>
        <v>1</v>
      </c>
      <c r="AG5" s="68">
        <f>M11</f>
        <v>6</v>
      </c>
      <c r="AH5" s="68">
        <f>AF5^2</f>
        <v>1</v>
      </c>
      <c r="AI5" s="68">
        <f>AF5*AG5</f>
        <v>6</v>
      </c>
      <c r="AJ5" s="68">
        <f>1/AF5</f>
        <v>1</v>
      </c>
      <c r="AK5" s="68">
        <f>1/AH5</f>
        <v>1</v>
      </c>
      <c r="AL5" s="70">
        <f>AJ5*AG5</f>
        <v>6</v>
      </c>
      <c r="AO5">
        <v>0.5</v>
      </c>
      <c r="AQ5">
        <v>1</v>
      </c>
      <c r="AS5">
        <v>2</v>
      </c>
      <c r="AU5">
        <v>2</v>
      </c>
    </row>
    <row r="6" spans="1:47" ht="24" customHeight="1">
      <c r="A6" s="212"/>
      <c r="B6" s="263" t="s">
        <v>382</v>
      </c>
      <c r="C6" s="263"/>
      <c r="D6" s="263"/>
      <c r="E6" s="213"/>
      <c r="F6" s="155"/>
      <c r="G6" s="155"/>
      <c r="H6" s="155"/>
      <c r="I6" s="155"/>
      <c r="J6" s="155"/>
      <c r="K6" s="155"/>
      <c r="L6" s="263" t="s">
        <v>383</v>
      </c>
      <c r="M6" s="213"/>
      <c r="N6" s="213"/>
      <c r="O6" s="213"/>
      <c r="P6" s="213"/>
      <c r="Q6" s="155"/>
      <c r="R6" s="155"/>
      <c r="S6" s="155"/>
      <c r="T6" s="155"/>
      <c r="U6" s="156"/>
      <c r="X6" s="24"/>
      <c r="AA6" s="24"/>
      <c r="AF6" s="52">
        <f>N10</f>
        <v>2</v>
      </c>
      <c r="AG6" s="53">
        <f>N11</f>
        <v>3</v>
      </c>
      <c r="AH6" s="53">
        <f>AF6^2</f>
        <v>4</v>
      </c>
      <c r="AI6" s="53">
        <f>AF6*AG6</f>
        <v>6</v>
      </c>
      <c r="AJ6" s="53">
        <f>1/AF6</f>
        <v>0.5</v>
      </c>
      <c r="AK6" s="53">
        <f>1/AH6</f>
        <v>0.25</v>
      </c>
      <c r="AL6" s="71">
        <f>AJ6*AG6</f>
        <v>1.5</v>
      </c>
      <c r="AO6" t="s">
        <v>184</v>
      </c>
      <c r="AQ6" t="s">
        <v>185</v>
      </c>
      <c r="AS6" t="s">
        <v>186</v>
      </c>
      <c r="AU6" t="s">
        <v>187</v>
      </c>
    </row>
    <row r="7" spans="1:47">
      <c r="A7" s="214"/>
      <c r="B7" s="108" t="s">
        <v>386</v>
      </c>
      <c r="C7" s="108"/>
      <c r="D7" s="108"/>
      <c r="E7" s="108"/>
      <c r="F7" s="108"/>
      <c r="G7" s="108"/>
      <c r="H7" s="108"/>
      <c r="I7" s="108"/>
      <c r="J7" s="108"/>
      <c r="K7" s="108"/>
      <c r="L7" s="339" t="s">
        <v>390</v>
      </c>
      <c r="M7" s="108"/>
      <c r="N7" s="108"/>
      <c r="O7" s="108"/>
      <c r="P7" s="108"/>
      <c r="Q7" s="108"/>
      <c r="R7" s="108"/>
      <c r="S7" s="108"/>
      <c r="T7" s="108"/>
      <c r="U7" s="215"/>
      <c r="X7" s="24"/>
      <c r="AA7" s="24"/>
      <c r="AF7" s="52">
        <f>O10</f>
        <v>3</v>
      </c>
      <c r="AG7" s="53">
        <f>O11</f>
        <v>2</v>
      </c>
      <c r="AH7" s="53">
        <f>AF7^2</f>
        <v>9</v>
      </c>
      <c r="AI7" s="53">
        <f>AF7*AG7</f>
        <v>6</v>
      </c>
      <c r="AJ7" s="53">
        <f>1/AF7</f>
        <v>0.33333333333333331</v>
      </c>
      <c r="AK7" s="53">
        <f>1/AH7</f>
        <v>0.1111111111111111</v>
      </c>
      <c r="AL7" s="71">
        <f>AJ7*AG7</f>
        <v>0.66666666666666663</v>
      </c>
      <c r="AO7">
        <v>0.25</v>
      </c>
      <c r="AQ7">
        <v>2</v>
      </c>
      <c r="AS7">
        <v>2</v>
      </c>
      <c r="AU7">
        <v>0</v>
      </c>
    </row>
    <row r="8" spans="1:47" ht="14.25">
      <c r="A8" s="214"/>
      <c r="B8" s="110" t="s">
        <v>188</v>
      </c>
      <c r="C8" s="259">
        <v>3</v>
      </c>
      <c r="D8" s="110" t="s">
        <v>189</v>
      </c>
      <c r="E8" s="259">
        <v>2</v>
      </c>
      <c r="F8" s="108"/>
      <c r="G8" s="108" t="s">
        <v>190</v>
      </c>
      <c r="H8" s="260">
        <v>12</v>
      </c>
      <c r="I8" s="289" t="s">
        <v>338</v>
      </c>
      <c r="J8" s="108"/>
      <c r="K8" s="108"/>
      <c r="L8" s="108"/>
      <c r="M8" s="339" t="s">
        <v>391</v>
      </c>
      <c r="N8" s="108"/>
      <c r="O8" s="108"/>
      <c r="P8" s="108"/>
      <c r="Q8" s="108"/>
      <c r="R8" s="108"/>
      <c r="S8" s="108"/>
      <c r="T8" s="108"/>
      <c r="U8" s="215"/>
      <c r="X8" s="24"/>
      <c r="AA8" s="24"/>
      <c r="AF8" s="52">
        <f>P10</f>
        <v>4</v>
      </c>
      <c r="AG8" s="53">
        <f>P11</f>
        <v>2</v>
      </c>
      <c r="AH8" s="53">
        <f>AF8^2</f>
        <v>16</v>
      </c>
      <c r="AI8" s="53">
        <f>AF8*AG8</f>
        <v>8</v>
      </c>
      <c r="AJ8" s="53">
        <f>1/AF8</f>
        <v>0.25</v>
      </c>
      <c r="AK8" s="53">
        <f>1/AH8</f>
        <v>6.25E-2</v>
      </c>
      <c r="AL8" s="71">
        <f>AJ8*AG8</f>
        <v>0.5</v>
      </c>
      <c r="AO8" t="s">
        <v>191</v>
      </c>
      <c r="AQ8" t="s">
        <v>192</v>
      </c>
      <c r="AS8" t="s">
        <v>193</v>
      </c>
      <c r="AU8" t="s">
        <v>194</v>
      </c>
    </row>
    <row r="9" spans="1:47">
      <c r="A9" s="214"/>
      <c r="B9" s="108"/>
      <c r="C9" s="108"/>
      <c r="D9" s="108"/>
      <c r="E9" s="108"/>
      <c r="F9" s="108"/>
      <c r="G9" s="108"/>
      <c r="H9" s="108"/>
      <c r="I9" s="298"/>
      <c r="J9" s="108"/>
      <c r="K9" s="108"/>
      <c r="L9" s="103"/>
      <c r="M9" s="110">
        <v>1</v>
      </c>
      <c r="N9" s="110">
        <v>2</v>
      </c>
      <c r="O9" s="110">
        <v>3</v>
      </c>
      <c r="P9" s="110">
        <v>4</v>
      </c>
      <c r="Q9" s="110">
        <v>5</v>
      </c>
      <c r="R9" s="108"/>
      <c r="S9" s="108"/>
      <c r="T9" s="108"/>
      <c r="U9" s="215"/>
      <c r="X9" s="24"/>
      <c r="AA9" s="24"/>
      <c r="AF9" s="52">
        <f>Q10</f>
        <v>5</v>
      </c>
      <c r="AG9" s="53">
        <f>Q11</f>
        <v>1</v>
      </c>
      <c r="AH9" s="53">
        <f>AF9^2</f>
        <v>25</v>
      </c>
      <c r="AI9" s="53">
        <f>AF9*AG9</f>
        <v>5</v>
      </c>
      <c r="AJ9" s="53">
        <f>1/AF9</f>
        <v>0.2</v>
      </c>
      <c r="AK9" s="53">
        <f>1/AH9</f>
        <v>0.04</v>
      </c>
      <c r="AL9" s="71">
        <f>AJ9*AG9</f>
        <v>0.2</v>
      </c>
      <c r="AO9">
        <v>-2</v>
      </c>
      <c r="AQ9">
        <v>-1</v>
      </c>
      <c r="AS9">
        <v>1</v>
      </c>
      <c r="AU9">
        <v>4</v>
      </c>
    </row>
    <row r="10" spans="1:47" ht="24" customHeight="1">
      <c r="A10" s="214"/>
      <c r="B10" s="108"/>
      <c r="C10" s="339" t="s">
        <v>395</v>
      </c>
      <c r="D10" s="108"/>
      <c r="E10" s="108"/>
      <c r="F10" s="339" t="s">
        <v>396</v>
      </c>
      <c r="G10" s="108"/>
      <c r="H10" s="108"/>
      <c r="I10" s="298"/>
      <c r="J10" s="108" t="s">
        <v>373</v>
      </c>
      <c r="K10" s="311" t="s">
        <v>384</v>
      </c>
      <c r="L10" s="311" t="s">
        <v>195</v>
      </c>
      <c r="M10" s="293">
        <v>1</v>
      </c>
      <c r="N10" s="257">
        <v>2</v>
      </c>
      <c r="O10" s="293">
        <v>3</v>
      </c>
      <c r="P10" s="257">
        <v>4</v>
      </c>
      <c r="Q10" s="293">
        <v>5</v>
      </c>
      <c r="R10" s="289" t="s">
        <v>338</v>
      </c>
      <c r="S10" s="108"/>
      <c r="T10" s="108"/>
      <c r="U10" s="215"/>
      <c r="X10" s="24"/>
      <c r="AA10" s="24"/>
      <c r="AF10" s="86"/>
      <c r="AG10" s="36"/>
      <c r="AH10" s="54"/>
      <c r="AI10" s="54"/>
      <c r="AJ10" s="54"/>
      <c r="AK10" s="54"/>
      <c r="AL10" s="75"/>
    </row>
    <row r="11" spans="1:47" ht="24" customHeight="1">
      <c r="A11" s="214"/>
      <c r="B11" s="386" t="s">
        <v>387</v>
      </c>
      <c r="C11" s="105"/>
      <c r="D11" s="105"/>
      <c r="E11" s="105"/>
      <c r="F11" s="105"/>
      <c r="G11" s="105"/>
      <c r="H11" s="106"/>
      <c r="I11" s="298"/>
      <c r="J11" s="108"/>
      <c r="K11" s="311" t="s">
        <v>385</v>
      </c>
      <c r="L11" s="311" t="s">
        <v>196</v>
      </c>
      <c r="M11" s="294">
        <v>6</v>
      </c>
      <c r="N11" s="258">
        <v>3</v>
      </c>
      <c r="O11" s="294">
        <v>2</v>
      </c>
      <c r="P11" s="258">
        <v>2</v>
      </c>
      <c r="Q11" s="294">
        <v>1</v>
      </c>
      <c r="R11" s="108"/>
      <c r="S11" s="108"/>
      <c r="T11" s="108"/>
      <c r="U11" s="215"/>
      <c r="X11" s="24"/>
      <c r="AA11" s="24"/>
      <c r="AF11" s="24">
        <f>SUM(AF5:AF10)</f>
        <v>15</v>
      </c>
      <c r="AG11" s="24">
        <f t="shared" ref="AG11:AL11" si="0">SUM(AG5:AG10)</f>
        <v>14</v>
      </c>
      <c r="AH11" s="24">
        <f t="shared" si="0"/>
        <v>55</v>
      </c>
      <c r="AI11" s="24">
        <f t="shared" si="0"/>
        <v>31</v>
      </c>
      <c r="AJ11" s="24">
        <f t="shared" si="0"/>
        <v>2.2833333333333332</v>
      </c>
      <c r="AK11" s="24">
        <f t="shared" si="0"/>
        <v>1.4636111111111112</v>
      </c>
      <c r="AL11" s="24">
        <f t="shared" si="0"/>
        <v>8.8666666666666654</v>
      </c>
    </row>
    <row r="12" spans="1:47" ht="20.100000000000001" customHeight="1">
      <c r="A12" s="214"/>
      <c r="B12" s="387" t="s">
        <v>197</v>
      </c>
      <c r="C12" s="311"/>
      <c r="D12" s="311"/>
      <c r="E12" s="388" t="s">
        <v>198</v>
      </c>
      <c r="F12" s="311"/>
      <c r="G12" s="388" t="s">
        <v>159</v>
      </c>
      <c r="H12" s="389" t="s">
        <v>199</v>
      </c>
      <c r="I12" s="29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215"/>
      <c r="X12" s="24"/>
      <c r="AA12" s="24"/>
    </row>
    <row r="13" spans="1:47" ht="20.100000000000001" customHeight="1">
      <c r="A13" s="214"/>
      <c r="B13" s="312">
        <f>C8</f>
        <v>3</v>
      </c>
      <c r="C13" s="313" t="s">
        <v>200</v>
      </c>
      <c r="D13" s="313" t="s">
        <v>22</v>
      </c>
      <c r="E13" s="313">
        <f>E8</f>
        <v>2</v>
      </c>
      <c r="F13" s="313" t="s">
        <v>201</v>
      </c>
      <c r="G13" s="314"/>
      <c r="H13" s="315">
        <f>H8</f>
        <v>12</v>
      </c>
      <c r="I13" s="298"/>
      <c r="J13" s="108"/>
      <c r="K13" s="108"/>
      <c r="L13" s="221" t="s">
        <v>392</v>
      </c>
      <c r="M13" s="108"/>
      <c r="N13" s="108"/>
      <c r="O13" s="108"/>
      <c r="P13" s="108"/>
      <c r="Q13" s="108"/>
      <c r="R13" s="108"/>
      <c r="S13" s="108"/>
      <c r="T13" s="108"/>
      <c r="U13" s="215"/>
      <c r="X13" s="24"/>
      <c r="AA13" s="24"/>
      <c r="AG13" t="s">
        <v>202</v>
      </c>
      <c r="AH13">
        <f>M10</f>
        <v>1</v>
      </c>
      <c r="AI13">
        <f>N10</f>
        <v>2</v>
      </c>
      <c r="AJ13">
        <f>O10</f>
        <v>3</v>
      </c>
      <c r="AK13">
        <f>P10</f>
        <v>4</v>
      </c>
      <c r="AL13">
        <f>Q10</f>
        <v>5</v>
      </c>
      <c r="AO13" t="s">
        <v>182</v>
      </c>
      <c r="AP13">
        <f>((AU9*AO5+AO9*AS5)*(AQ7*AO5-AS5*AQ5)-(AU7*AO5-AO7*AU5)*(AQ9*AO5+AO9*AQ5))</f>
        <v>0.75</v>
      </c>
      <c r="AR13" s="90" t="s">
        <v>426</v>
      </c>
    </row>
    <row r="14" spans="1:47">
      <c r="A14" s="214"/>
      <c r="B14" s="108"/>
      <c r="C14" s="108"/>
      <c r="D14" s="108"/>
      <c r="E14" s="108"/>
      <c r="F14" s="108"/>
      <c r="G14" s="108"/>
      <c r="H14" s="108"/>
      <c r="I14" s="298"/>
      <c r="J14" s="108"/>
      <c r="K14" s="108"/>
      <c r="L14" s="108"/>
      <c r="M14" s="247"/>
      <c r="N14" s="248"/>
      <c r="O14" s="248"/>
      <c r="P14" s="249"/>
      <c r="Q14" s="108"/>
      <c r="R14" s="108"/>
      <c r="S14" s="108"/>
      <c r="T14" s="108"/>
      <c r="U14" s="215"/>
      <c r="X14" s="24"/>
      <c r="AA14" s="24"/>
      <c r="AF14" s="39"/>
      <c r="AG14" s="39" t="s">
        <v>196</v>
      </c>
      <c r="AH14" s="43">
        <f>$N$15/AH13+$P$15</f>
        <v>5.9928722280886983</v>
      </c>
      <c r="AI14" s="43">
        <f>$N$15/AI13+$P$15</f>
        <v>3.0546462513199573</v>
      </c>
      <c r="AJ14" s="43">
        <f>$N$15/AJ13+$P$15</f>
        <v>2.0752375923970439</v>
      </c>
      <c r="AK14" s="43">
        <f>$N$15/AK13+$P$15</f>
        <v>1.5855332629355867</v>
      </c>
      <c r="AL14" s="43">
        <f>$N$15/AL13+$P$15</f>
        <v>1.2917106652587127</v>
      </c>
    </row>
    <row r="15" spans="1:47" ht="16.5">
      <c r="A15" s="265" t="s">
        <v>203</v>
      </c>
      <c r="B15" s="266">
        <f>H13/E13</f>
        <v>6</v>
      </c>
      <c r="C15" s="267" t="s">
        <v>204</v>
      </c>
      <c r="D15" s="266">
        <f>-B13/E13</f>
        <v>-1.5</v>
      </c>
      <c r="E15" s="268" t="s">
        <v>205</v>
      </c>
      <c r="F15" s="222"/>
      <c r="G15" s="223" t="s">
        <v>206</v>
      </c>
      <c r="H15" s="111">
        <f>-C8/E8</f>
        <v>-1.5</v>
      </c>
      <c r="I15" s="289" t="s">
        <v>338</v>
      </c>
      <c r="J15" s="108"/>
      <c r="K15" s="108"/>
      <c r="L15" s="216" t="s">
        <v>338</v>
      </c>
      <c r="M15" s="250" t="s">
        <v>207</v>
      </c>
      <c r="N15" s="251">
        <f>((AL11-(AG11*AJ11/5))/(AK11-(AJ11*AJ11/5)))</f>
        <v>5.8764519535374822</v>
      </c>
      <c r="O15" s="252" t="s">
        <v>22</v>
      </c>
      <c r="P15" s="253">
        <f>(AG11/5)-(AJ11/5*N15)</f>
        <v>0.11642027455121617</v>
      </c>
      <c r="Q15" s="108"/>
      <c r="R15" s="108"/>
      <c r="S15" s="108"/>
      <c r="T15" s="108"/>
      <c r="U15" s="215"/>
      <c r="AA15" s="24"/>
    </row>
    <row r="16" spans="1:47" ht="16.5">
      <c r="A16" s="214"/>
      <c r="B16" s="108"/>
      <c r="C16" s="108"/>
      <c r="D16" s="108"/>
      <c r="E16" s="108"/>
      <c r="F16" s="108"/>
      <c r="G16" s="108"/>
      <c r="H16" s="108"/>
      <c r="I16" s="298"/>
      <c r="J16" s="108"/>
      <c r="K16" s="108"/>
      <c r="L16" s="108"/>
      <c r="M16" s="254"/>
      <c r="N16" s="255" t="s">
        <v>208</v>
      </c>
      <c r="O16" s="255"/>
      <c r="P16" s="256"/>
      <c r="Q16" s="108"/>
      <c r="R16" s="108"/>
      <c r="S16" s="108"/>
      <c r="T16" s="108"/>
      <c r="U16" s="215"/>
      <c r="X16" s="24"/>
      <c r="AA16" s="24"/>
    </row>
    <row r="17" spans="1:37">
      <c r="A17" s="214"/>
      <c r="B17" s="108"/>
      <c r="C17" s="110" t="s">
        <v>388</v>
      </c>
      <c r="D17" s="110"/>
      <c r="E17" s="110"/>
      <c r="F17" s="110"/>
      <c r="G17" s="110" t="s">
        <v>389</v>
      </c>
      <c r="H17" s="108"/>
      <c r="I17" s="29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241"/>
      <c r="X17" s="24"/>
      <c r="AA17" s="24"/>
    </row>
    <row r="18" spans="1:37" ht="14.25">
      <c r="A18" s="214"/>
      <c r="B18" s="339" t="s">
        <v>393</v>
      </c>
      <c r="C18" s="108">
        <v>0</v>
      </c>
      <c r="D18" s="260">
        <v>1</v>
      </c>
      <c r="E18" s="260">
        <v>2</v>
      </c>
      <c r="F18" s="260">
        <v>3</v>
      </c>
      <c r="G18" s="108">
        <f>H8/C8</f>
        <v>4</v>
      </c>
      <c r="H18" s="108"/>
      <c r="I18" s="289" t="s">
        <v>338</v>
      </c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241"/>
      <c r="V18" s="24"/>
      <c r="W18" s="24"/>
      <c r="X18" s="24"/>
      <c r="AA18" s="24"/>
    </row>
    <row r="19" spans="1:37">
      <c r="A19" s="214"/>
      <c r="B19" s="108"/>
      <c r="C19" s="108"/>
      <c r="D19" s="108"/>
      <c r="E19" s="108"/>
      <c r="F19" s="108"/>
      <c r="G19" s="108"/>
      <c r="H19" s="108"/>
      <c r="I19" s="29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241"/>
      <c r="V19" s="24"/>
      <c r="W19" s="24"/>
      <c r="X19" s="24"/>
      <c r="AA19" s="24"/>
    </row>
    <row r="20" spans="1:37">
      <c r="A20" s="214"/>
      <c r="B20" s="221" t="s">
        <v>424</v>
      </c>
      <c r="C20" s="108"/>
      <c r="D20" s="108"/>
      <c r="E20" s="108"/>
      <c r="F20" s="108"/>
      <c r="G20" s="108"/>
      <c r="H20" s="108"/>
      <c r="I20" s="29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241"/>
      <c r="V20" s="24"/>
      <c r="W20" s="24"/>
      <c r="X20" s="24"/>
      <c r="AA20" s="24"/>
      <c r="AF20" s="90" t="s">
        <v>425</v>
      </c>
    </row>
    <row r="21" spans="1:37">
      <c r="A21" s="214"/>
      <c r="B21" s="108"/>
      <c r="C21" s="108" t="s">
        <v>397</v>
      </c>
      <c r="D21" s="108"/>
      <c r="E21" s="108"/>
      <c r="F21" s="108"/>
      <c r="G21" s="108"/>
      <c r="H21" s="108"/>
      <c r="I21" s="29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241"/>
      <c r="V21" s="24"/>
      <c r="W21" s="24"/>
      <c r="X21" s="24"/>
      <c r="AA21" s="24"/>
    </row>
    <row r="22" spans="1:37">
      <c r="A22" s="214"/>
      <c r="B22" s="103"/>
      <c r="C22" s="110">
        <v>1</v>
      </c>
      <c r="D22" s="110">
        <v>2</v>
      </c>
      <c r="E22" s="110">
        <v>3</v>
      </c>
      <c r="F22" s="110">
        <v>4</v>
      </c>
      <c r="G22" s="110">
        <v>5</v>
      </c>
      <c r="H22" s="108"/>
      <c r="I22" s="29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241"/>
      <c r="V22" s="24"/>
      <c r="W22" s="24"/>
      <c r="X22" s="24"/>
      <c r="AA22" s="24"/>
    </row>
    <row r="23" spans="1:37" ht="24" customHeight="1">
      <c r="A23" s="108" t="s">
        <v>373</v>
      </c>
      <c r="B23" s="221" t="s">
        <v>195</v>
      </c>
      <c r="C23" s="295">
        <f>C18</f>
        <v>0</v>
      </c>
      <c r="D23" s="224">
        <f>D18</f>
        <v>1</v>
      </c>
      <c r="E23" s="295">
        <f>E18</f>
        <v>2</v>
      </c>
      <c r="F23" s="224">
        <f>F18</f>
        <v>3</v>
      </c>
      <c r="G23" s="295">
        <f>G18</f>
        <v>4</v>
      </c>
      <c r="H23" s="108"/>
      <c r="I23" s="299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241"/>
      <c r="V23" s="24"/>
      <c r="W23" s="24"/>
      <c r="X23" s="24"/>
      <c r="AA23" s="24"/>
    </row>
    <row r="24" spans="1:37" ht="24" customHeight="1">
      <c r="A24" s="214"/>
      <c r="B24" s="221" t="s">
        <v>196</v>
      </c>
      <c r="C24" s="296">
        <f>$B$15+$D$15*C23</f>
        <v>6</v>
      </c>
      <c r="D24" s="225">
        <f>$B$15+$D$15*D23</f>
        <v>4.5</v>
      </c>
      <c r="E24" s="296">
        <f>$B$15+$D$15*E23</f>
        <v>3</v>
      </c>
      <c r="F24" s="225">
        <f>$B$15+$D$15*F23</f>
        <v>1.5</v>
      </c>
      <c r="G24" s="296">
        <f>$B$15+$D$15*G23</f>
        <v>0</v>
      </c>
      <c r="H24" s="108"/>
      <c r="I24" s="29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241"/>
      <c r="V24" s="24"/>
      <c r="W24" s="24"/>
      <c r="X24" s="24"/>
      <c r="AA24" s="24"/>
      <c r="AG24" s="87" t="s">
        <v>195</v>
      </c>
      <c r="AH24" s="87" t="s">
        <v>196</v>
      </c>
      <c r="AI24" t="s">
        <v>209</v>
      </c>
      <c r="AJ24" t="s">
        <v>210</v>
      </c>
      <c r="AK24" t="s">
        <v>211</v>
      </c>
    </row>
    <row r="25" spans="1:37" ht="15.75">
      <c r="A25" s="214"/>
      <c r="B25" s="108"/>
      <c r="C25" s="108"/>
      <c r="D25" s="108"/>
      <c r="E25" s="108"/>
      <c r="F25" s="108"/>
      <c r="G25" s="108"/>
      <c r="H25" s="108"/>
      <c r="I25" s="29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241"/>
      <c r="V25" s="24"/>
      <c r="W25" s="24"/>
      <c r="X25" s="24"/>
      <c r="AG25" s="88">
        <v>0</v>
      </c>
      <c r="AH25" s="89">
        <v>45</v>
      </c>
      <c r="AI25">
        <f t="shared" ref="AI25:AJ29" si="1">AG25^2</f>
        <v>0</v>
      </c>
      <c r="AJ25">
        <f t="shared" si="1"/>
        <v>2025</v>
      </c>
      <c r="AK25">
        <f>AG25*AH25</f>
        <v>0</v>
      </c>
    </row>
    <row r="26" spans="1:37" ht="15.75">
      <c r="A26" s="214"/>
      <c r="B26" s="339" t="s">
        <v>423</v>
      </c>
      <c r="C26" s="108"/>
      <c r="D26" s="108"/>
      <c r="E26" s="108"/>
      <c r="F26" s="108"/>
      <c r="G26" s="108"/>
      <c r="H26" s="108"/>
      <c r="I26" s="29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241"/>
      <c r="V26" s="24"/>
      <c r="W26" s="24"/>
      <c r="X26" s="24"/>
      <c r="AG26" s="88">
        <v>1</v>
      </c>
      <c r="AH26" s="89">
        <v>43.5</v>
      </c>
      <c r="AI26">
        <f t="shared" si="1"/>
        <v>1</v>
      </c>
      <c r="AJ26">
        <f t="shared" si="1"/>
        <v>1892.25</v>
      </c>
      <c r="AK26">
        <f>AG26*AH26</f>
        <v>43.5</v>
      </c>
    </row>
    <row r="27" spans="1:37" ht="15.75">
      <c r="A27" s="214"/>
      <c r="B27" s="108" t="s">
        <v>212</v>
      </c>
      <c r="C27" s="110">
        <f>$C$8*C18</f>
        <v>0</v>
      </c>
      <c r="D27" s="110">
        <f>$C$8*D18</f>
        <v>3</v>
      </c>
      <c r="E27" s="110">
        <f>$C$8*E18</f>
        <v>6</v>
      </c>
      <c r="F27" s="110">
        <f>$C$8*F18</f>
        <v>9</v>
      </c>
      <c r="G27" s="110">
        <f>$C$8*G18</f>
        <v>12</v>
      </c>
      <c r="H27" s="108"/>
      <c r="I27" s="289" t="s">
        <v>338</v>
      </c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241"/>
      <c r="V27" s="24"/>
      <c r="W27" s="24"/>
      <c r="X27" s="24"/>
      <c r="AG27" s="88">
        <v>3</v>
      </c>
      <c r="AH27" s="89">
        <v>40.5</v>
      </c>
      <c r="AI27">
        <f t="shared" si="1"/>
        <v>9</v>
      </c>
      <c r="AJ27">
        <f t="shared" si="1"/>
        <v>1640.25</v>
      </c>
      <c r="AK27">
        <f>AG27*AH27</f>
        <v>121.5</v>
      </c>
    </row>
    <row r="28" spans="1:37" ht="15.75">
      <c r="A28" s="214"/>
      <c r="B28" s="108" t="s">
        <v>213</v>
      </c>
      <c r="C28" s="110">
        <f>$E$8*($B$15+$D$15*C18)</f>
        <v>12</v>
      </c>
      <c r="D28" s="110">
        <f>$E$8*($B$15+$D$15*D18)</f>
        <v>9</v>
      </c>
      <c r="E28" s="110">
        <f>$E$8*($B$15+$D$15*E18)</f>
        <v>6</v>
      </c>
      <c r="F28" s="110">
        <f>$E$8*($B$15+$D$15*F18)</f>
        <v>3</v>
      </c>
      <c r="G28" s="110">
        <f>$E$8*($B$15+$D$15*G18)</f>
        <v>0</v>
      </c>
      <c r="H28" s="108"/>
      <c r="I28" s="10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241"/>
      <c r="V28" s="24"/>
      <c r="W28" s="24"/>
      <c r="X28" s="24"/>
      <c r="AG28" s="88">
        <v>7</v>
      </c>
      <c r="AH28" s="89">
        <v>34.5</v>
      </c>
      <c r="AI28">
        <f t="shared" si="1"/>
        <v>49</v>
      </c>
      <c r="AJ28">
        <f t="shared" si="1"/>
        <v>1190.25</v>
      </c>
      <c r="AK28">
        <f>AG28*AH28</f>
        <v>241.5</v>
      </c>
    </row>
    <row r="29" spans="1:37" ht="15.75">
      <c r="A29" s="214"/>
      <c r="B29" s="108"/>
      <c r="C29" s="297">
        <f>SUM(C27:C28)</f>
        <v>12</v>
      </c>
      <c r="D29" s="297">
        <f>SUM(D27:D28)</f>
        <v>12</v>
      </c>
      <c r="E29" s="297">
        <f>SUM(E27:E28)</f>
        <v>12</v>
      </c>
      <c r="F29" s="297">
        <f>SUM(F27:F28)</f>
        <v>12</v>
      </c>
      <c r="G29" s="297">
        <f>SUM(G27:G28)</f>
        <v>12</v>
      </c>
      <c r="H29" s="108"/>
      <c r="I29" s="10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241"/>
      <c r="V29" s="24"/>
      <c r="W29" s="24"/>
      <c r="X29" s="24"/>
      <c r="AG29" s="88">
        <v>30</v>
      </c>
      <c r="AH29" s="89">
        <v>0</v>
      </c>
      <c r="AI29">
        <f t="shared" si="1"/>
        <v>900</v>
      </c>
      <c r="AJ29">
        <f t="shared" si="1"/>
        <v>0</v>
      </c>
      <c r="AK29">
        <f>AG29*AH29</f>
        <v>0</v>
      </c>
    </row>
    <row r="30" spans="1:37">
      <c r="A30" s="214"/>
      <c r="B30" s="108"/>
      <c r="C30" s="108"/>
      <c r="D30" s="108"/>
      <c r="E30" s="108"/>
      <c r="F30" s="108"/>
      <c r="G30" s="108"/>
      <c r="H30" s="108"/>
      <c r="I30" s="10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241"/>
      <c r="V30" s="24"/>
      <c r="W30" s="24"/>
      <c r="X30" s="24"/>
      <c r="AF30" s="90" t="s">
        <v>374</v>
      </c>
      <c r="AG30">
        <f>SUM(AG25:AG29)</f>
        <v>41</v>
      </c>
      <c r="AH30">
        <f>SUM(AH25:AH29)</f>
        <v>163.5</v>
      </c>
      <c r="AI30">
        <f>SUM(AI25:AI29)</f>
        <v>959</v>
      </c>
      <c r="AJ30">
        <f>SUM(AJ25:AJ29)</f>
        <v>6747.75</v>
      </c>
      <c r="AK30">
        <f>SUM(AK25:AK29)</f>
        <v>406.5</v>
      </c>
    </row>
    <row r="31" spans="1:37">
      <c r="A31" s="214"/>
      <c r="B31" s="108"/>
      <c r="C31" s="108"/>
      <c r="D31" s="108"/>
      <c r="E31" s="108"/>
      <c r="F31" s="108"/>
      <c r="G31" s="108"/>
      <c r="H31" s="108"/>
      <c r="I31" s="10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241"/>
      <c r="V31" s="24"/>
      <c r="W31" s="24"/>
      <c r="X31" s="24"/>
    </row>
    <row r="32" spans="1:37">
      <c r="A32" s="214"/>
      <c r="B32" s="108"/>
      <c r="C32" s="108"/>
      <c r="D32" s="108"/>
      <c r="E32" s="108"/>
      <c r="F32" s="108"/>
      <c r="G32" s="108"/>
      <c r="H32" s="108"/>
      <c r="I32" s="108"/>
      <c r="J32" s="188"/>
      <c r="K32" s="188"/>
      <c r="L32" s="188"/>
      <c r="M32" s="188"/>
      <c r="N32" s="188"/>
      <c r="O32" s="188"/>
      <c r="P32" s="188"/>
      <c r="Q32" s="242"/>
      <c r="R32" s="242"/>
      <c r="S32" s="242"/>
      <c r="T32" s="242"/>
      <c r="U32" s="243"/>
      <c r="V32" s="24"/>
      <c r="W32" s="24"/>
      <c r="X32" s="24"/>
    </row>
    <row r="33" spans="1:24">
      <c r="A33" s="214"/>
      <c r="B33" s="108"/>
      <c r="C33" s="108"/>
      <c r="D33" s="108"/>
      <c r="E33" s="108"/>
      <c r="F33" s="108"/>
      <c r="G33" s="108"/>
      <c r="H33" s="108"/>
      <c r="I33" s="10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241"/>
      <c r="V33" s="24"/>
      <c r="W33" s="24"/>
      <c r="X33" s="24"/>
    </row>
    <row r="34" spans="1:24">
      <c r="A34" s="214"/>
      <c r="B34" s="108"/>
      <c r="C34" s="108"/>
      <c r="D34" s="108"/>
      <c r="E34" s="108"/>
      <c r="F34" s="108"/>
      <c r="G34" s="108"/>
      <c r="H34" s="108"/>
      <c r="I34" s="10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241"/>
      <c r="V34" s="24"/>
      <c r="W34" s="24"/>
    </row>
    <row r="35" spans="1:24" ht="13.5" thickBot="1">
      <c r="A35" s="227"/>
      <c r="B35" s="108"/>
      <c r="C35" s="108"/>
      <c r="D35" s="108"/>
      <c r="E35" s="108"/>
      <c r="F35" s="108"/>
      <c r="G35" s="108"/>
      <c r="H35" s="108"/>
      <c r="I35" s="10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241"/>
      <c r="V35" s="24"/>
      <c r="W35" s="24"/>
    </row>
    <row r="36" spans="1:24">
      <c r="A36" s="31"/>
      <c r="B36" s="212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6"/>
      <c r="W36" s="24"/>
    </row>
    <row r="37" spans="1:24" ht="15.75">
      <c r="B37" s="228" t="s">
        <v>398</v>
      </c>
      <c r="C37" s="229"/>
      <c r="D37" s="108"/>
      <c r="E37" s="108"/>
      <c r="F37" s="108"/>
      <c r="G37" s="108"/>
      <c r="H37" s="108"/>
      <c r="I37" s="125" t="s">
        <v>338</v>
      </c>
      <c r="J37" s="108"/>
      <c r="K37" s="108"/>
      <c r="L37" s="229" t="s">
        <v>404</v>
      </c>
      <c r="M37" s="108"/>
      <c r="N37" s="108"/>
      <c r="O37" s="108"/>
      <c r="P37" s="108"/>
      <c r="Q37" s="108"/>
      <c r="R37" s="108"/>
      <c r="S37" s="108"/>
      <c r="T37" s="108"/>
      <c r="U37" s="108"/>
      <c r="V37" s="215"/>
      <c r="W37" s="24"/>
    </row>
    <row r="38" spans="1:24">
      <c r="B38" s="390" t="s">
        <v>399</v>
      </c>
      <c r="C38" s="108"/>
      <c r="D38" s="108"/>
      <c r="E38" s="305">
        <v>2</v>
      </c>
      <c r="F38" s="309">
        <v>3.1</v>
      </c>
      <c r="G38" s="305">
        <v>4.2</v>
      </c>
      <c r="H38" s="309">
        <v>5.2</v>
      </c>
      <c r="I38" s="305">
        <v>5.3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215"/>
    </row>
    <row r="39" spans="1:24" ht="24" customHeight="1">
      <c r="B39" s="214"/>
      <c r="C39" s="108"/>
      <c r="D39" s="221" t="s">
        <v>195</v>
      </c>
      <c r="E39" s="306">
        <f>C23</f>
        <v>0</v>
      </c>
      <c r="F39" s="229">
        <f>D23</f>
        <v>1</v>
      </c>
      <c r="G39" s="306">
        <f>E23</f>
        <v>2</v>
      </c>
      <c r="H39" s="229">
        <f>F23</f>
        <v>3</v>
      </c>
      <c r="I39" s="306">
        <f>G23</f>
        <v>4</v>
      </c>
      <c r="J39" s="108"/>
      <c r="K39" s="108"/>
      <c r="L39" s="339" t="s">
        <v>405</v>
      </c>
      <c r="M39" s="108"/>
      <c r="N39" s="108"/>
      <c r="O39" s="230">
        <f>$D$48*O40^2+$G$48*O40+$J$48</f>
        <v>3.24</v>
      </c>
      <c r="P39" s="230">
        <f>$D$48*P40^2+$G$48*P40+$J$48</f>
        <v>4.26</v>
      </c>
      <c r="Q39" s="230">
        <f>$D$48*Q40^2+$G$48*Q40+$J$48</f>
        <v>4.9800000000000004</v>
      </c>
      <c r="R39" s="230">
        <f>$D$48*R40^2+$G$48*R40+$J$48</f>
        <v>5.4</v>
      </c>
      <c r="S39" s="230">
        <f>$D$48*S40^2+$G$48*S40+$J$48</f>
        <v>5.52</v>
      </c>
      <c r="T39" s="108"/>
      <c r="U39" s="108"/>
      <c r="V39" s="215"/>
    </row>
    <row r="40" spans="1:24" ht="24" customHeight="1">
      <c r="B40" s="214"/>
      <c r="C40" s="108"/>
      <c r="D40" s="221" t="s">
        <v>196</v>
      </c>
      <c r="E40" s="307">
        <f>$B$15+$D$15*E39</f>
        <v>6</v>
      </c>
      <c r="F40" s="302">
        <f>$B$15+$D$15*F39</f>
        <v>4.5</v>
      </c>
      <c r="G40" s="307">
        <f>$B$15+$D$15*G39</f>
        <v>3</v>
      </c>
      <c r="H40" s="302">
        <f>$B$15+$D$15*H39</f>
        <v>1.5</v>
      </c>
      <c r="I40" s="307">
        <f>$B$15+$D$15*I39</f>
        <v>0</v>
      </c>
      <c r="J40" s="108"/>
      <c r="K40" s="108"/>
      <c r="L40" s="108" t="s">
        <v>406</v>
      </c>
      <c r="M40" s="108"/>
      <c r="N40" s="221" t="s">
        <v>195</v>
      </c>
      <c r="O40" s="231">
        <f t="shared" ref="O40:S41" si="2">M10</f>
        <v>1</v>
      </c>
      <c r="P40" s="231">
        <f t="shared" si="2"/>
        <v>2</v>
      </c>
      <c r="Q40" s="231">
        <f t="shared" si="2"/>
        <v>3</v>
      </c>
      <c r="R40" s="231">
        <f t="shared" si="2"/>
        <v>4</v>
      </c>
      <c r="S40" s="303">
        <f t="shared" si="2"/>
        <v>5</v>
      </c>
      <c r="T40" s="108"/>
      <c r="U40" s="108"/>
      <c r="V40" s="215"/>
    </row>
    <row r="41" spans="1:24" ht="24" customHeight="1">
      <c r="B41" s="390" t="s">
        <v>400</v>
      </c>
      <c r="C41" s="108"/>
      <c r="D41" s="108"/>
      <c r="E41" s="308">
        <v>4.9000000000000004</v>
      </c>
      <c r="F41" s="310">
        <v>5.4</v>
      </c>
      <c r="G41" s="308">
        <v>4.0999999999999996</v>
      </c>
      <c r="H41" s="310">
        <v>2.5</v>
      </c>
      <c r="I41" s="308">
        <v>1.9</v>
      </c>
      <c r="J41" s="108"/>
      <c r="K41" s="108"/>
      <c r="L41" s="108"/>
      <c r="M41" s="108"/>
      <c r="N41" s="221" t="s">
        <v>196</v>
      </c>
      <c r="O41" s="232">
        <f t="shared" si="2"/>
        <v>6</v>
      </c>
      <c r="P41" s="232">
        <f t="shared" si="2"/>
        <v>3</v>
      </c>
      <c r="Q41" s="232">
        <f t="shared" si="2"/>
        <v>2</v>
      </c>
      <c r="R41" s="232">
        <f t="shared" si="2"/>
        <v>2</v>
      </c>
      <c r="S41" s="304">
        <f t="shared" si="2"/>
        <v>1</v>
      </c>
      <c r="T41" s="125" t="s">
        <v>338</v>
      </c>
      <c r="U41" s="108"/>
      <c r="V41" s="215"/>
    </row>
    <row r="42" spans="1:24">
      <c r="B42" s="214"/>
      <c r="C42" s="339"/>
      <c r="D42" s="108"/>
      <c r="E42" s="108"/>
      <c r="F42" s="108"/>
      <c r="G42" s="108"/>
      <c r="H42" s="108"/>
      <c r="I42" s="108"/>
      <c r="J42" s="108"/>
      <c r="K42" s="108"/>
      <c r="L42" s="339" t="s">
        <v>407</v>
      </c>
      <c r="M42" s="108"/>
      <c r="N42" s="108"/>
      <c r="O42" s="230">
        <f>$D$50*O41^2+$G$50*O41+$J$50</f>
        <v>5.16</v>
      </c>
      <c r="P42" s="230">
        <f>$D$50*P41^2+$G$50*P41+$J$50</f>
        <v>4.1100000000000003</v>
      </c>
      <c r="Q42" s="230">
        <f>$D$50*Q41^2+$G$50*Q41+$J$50</f>
        <v>3.4400000000000004</v>
      </c>
      <c r="R42" s="230">
        <f>$D$50*R41^2+$G$50*R41+$J$50</f>
        <v>3.4400000000000004</v>
      </c>
      <c r="S42" s="230">
        <f>$D$50*S41^2+$G$50*S41+$J$50</f>
        <v>2.6100000000000003</v>
      </c>
      <c r="T42" s="108"/>
      <c r="U42" s="108"/>
      <c r="V42" s="215"/>
    </row>
    <row r="43" spans="1:24">
      <c r="B43" s="390" t="s">
        <v>401</v>
      </c>
      <c r="C43" s="108"/>
      <c r="D43" s="108"/>
      <c r="E43" s="233">
        <f>E38+E41</f>
        <v>6.9</v>
      </c>
      <c r="F43" s="234">
        <f>F38+F41</f>
        <v>8.5</v>
      </c>
      <c r="G43" s="234">
        <f>G38+G41</f>
        <v>8.3000000000000007</v>
      </c>
      <c r="H43" s="234">
        <f>H38+H41</f>
        <v>7.7</v>
      </c>
      <c r="I43" s="235">
        <f>I38+I41</f>
        <v>7.1999999999999993</v>
      </c>
      <c r="J43" s="108"/>
      <c r="K43" s="108"/>
      <c r="L43" s="108" t="s">
        <v>408</v>
      </c>
      <c r="M43" s="108"/>
      <c r="N43" s="108"/>
      <c r="O43" s="108"/>
      <c r="P43" s="108"/>
      <c r="Q43" s="108"/>
      <c r="R43" s="108"/>
      <c r="S43" s="108"/>
      <c r="T43" s="108"/>
      <c r="U43" s="108"/>
      <c r="V43" s="215"/>
    </row>
    <row r="44" spans="1:24">
      <c r="B44" s="214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215"/>
    </row>
    <row r="45" spans="1:24">
      <c r="B45" s="390" t="s">
        <v>402</v>
      </c>
      <c r="C45" s="108"/>
      <c r="D45" s="108"/>
      <c r="E45" s="104">
        <f>(F38-E38)/(F39-E39)</f>
        <v>1.1000000000000001</v>
      </c>
      <c r="F45" s="105">
        <f>(G38-F38)/(G39-F39)</f>
        <v>1.1000000000000001</v>
      </c>
      <c r="G45" s="105">
        <f>(H38-G38)/(H39-G39)</f>
        <v>1</v>
      </c>
      <c r="H45" s="105">
        <f>(I38-H38)/(I39-H39)</f>
        <v>9.9999999999999645E-2</v>
      </c>
      <c r="I45" s="391" t="s">
        <v>214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215"/>
    </row>
    <row r="46" spans="1:24">
      <c r="B46" s="214"/>
      <c r="C46" s="108"/>
      <c r="D46" s="339" t="s">
        <v>215</v>
      </c>
      <c r="E46" s="392" t="s">
        <v>214</v>
      </c>
      <c r="F46" s="114">
        <f>(E41-F41)/(E40-F40)</f>
        <v>-0.33333333333333331</v>
      </c>
      <c r="G46" s="114">
        <f>(F41-G41)/(F40-G40)</f>
        <v>0.86666666666666714</v>
      </c>
      <c r="H46" s="114">
        <f>(G41-H41)/(G40-H40)</f>
        <v>1.0666666666666664</v>
      </c>
      <c r="I46" s="264">
        <f>(H41-I41)/(H40-I40)</f>
        <v>0.40000000000000008</v>
      </c>
      <c r="J46" s="108"/>
      <c r="K46" s="108"/>
      <c r="L46" s="108" t="s">
        <v>409</v>
      </c>
      <c r="M46" s="338"/>
      <c r="N46" s="108"/>
      <c r="O46" s="108"/>
      <c r="P46" s="108"/>
      <c r="Q46" s="108"/>
      <c r="R46" s="108"/>
      <c r="S46" s="108"/>
      <c r="T46" s="108"/>
      <c r="U46" s="108"/>
      <c r="V46" s="215"/>
    </row>
    <row r="47" spans="1:24">
      <c r="B47" s="291" t="s">
        <v>403</v>
      </c>
      <c r="C47" s="292"/>
      <c r="D47" s="292"/>
      <c r="E47" s="292"/>
      <c r="F47" s="292"/>
      <c r="G47" s="292"/>
      <c r="H47" s="108"/>
      <c r="I47" s="108"/>
      <c r="J47" s="108"/>
      <c r="K47" s="108"/>
      <c r="L47" s="108" t="s">
        <v>408</v>
      </c>
      <c r="M47" s="108"/>
      <c r="N47" s="108"/>
      <c r="O47" s="230">
        <f>O39+O42</f>
        <v>8.4</v>
      </c>
      <c r="P47" s="230">
        <f>P39+P42</f>
        <v>8.370000000000001</v>
      </c>
      <c r="Q47" s="230">
        <f>Q39+Q42</f>
        <v>8.4200000000000017</v>
      </c>
      <c r="R47" s="230">
        <f>R39+R42</f>
        <v>8.84</v>
      </c>
      <c r="S47" s="230">
        <f>S39+S42</f>
        <v>8.129999999999999</v>
      </c>
      <c r="T47" s="125" t="s">
        <v>338</v>
      </c>
      <c r="U47" s="108"/>
      <c r="V47" s="215"/>
    </row>
    <row r="48" spans="1:24">
      <c r="B48" s="214"/>
      <c r="C48" s="339" t="s">
        <v>216</v>
      </c>
      <c r="D48" s="188">
        <v>-0.15</v>
      </c>
      <c r="E48" s="339" t="s">
        <v>209</v>
      </c>
      <c r="F48" s="339" t="s">
        <v>22</v>
      </c>
      <c r="G48" s="188">
        <v>1.47</v>
      </c>
      <c r="H48" s="236" t="s">
        <v>195</v>
      </c>
      <c r="I48" s="236" t="s">
        <v>22</v>
      </c>
      <c r="J48" s="188">
        <v>1.92</v>
      </c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215"/>
    </row>
    <row r="49" spans="2:25">
      <c r="B49" s="214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215"/>
    </row>
    <row r="50" spans="2:25">
      <c r="B50" s="214"/>
      <c r="C50" s="339" t="s">
        <v>217</v>
      </c>
      <c r="D50" s="188">
        <v>-0.08</v>
      </c>
      <c r="E50" s="339" t="s">
        <v>210</v>
      </c>
      <c r="F50" s="339" t="s">
        <v>22</v>
      </c>
      <c r="G50" s="188">
        <v>1.07</v>
      </c>
      <c r="H50" s="339" t="s">
        <v>196</v>
      </c>
      <c r="I50" s="236" t="s">
        <v>22</v>
      </c>
      <c r="J50" s="188">
        <v>1.62</v>
      </c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215"/>
      <c r="X50" s="24"/>
    </row>
    <row r="51" spans="2:25">
      <c r="B51" s="214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215"/>
    </row>
    <row r="52" spans="2:25" ht="15.75">
      <c r="B52" s="244"/>
      <c r="C52" s="188"/>
      <c r="D52" s="188"/>
      <c r="E52" s="290" t="s">
        <v>338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241"/>
    </row>
    <row r="53" spans="2:25">
      <c r="B53" s="244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241"/>
    </row>
    <row r="54" spans="2:25">
      <c r="B54" s="244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241"/>
    </row>
    <row r="55" spans="2:25">
      <c r="B55" s="244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24"/>
      <c r="U55" s="103"/>
      <c r="V55" s="326" t="s">
        <v>99</v>
      </c>
      <c r="W55" s="326"/>
      <c r="X55" s="326"/>
    </row>
    <row r="56" spans="2:25">
      <c r="B56" s="244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24"/>
      <c r="U56" s="103"/>
      <c r="V56" s="326" t="s">
        <v>100</v>
      </c>
      <c r="W56" s="326"/>
      <c r="X56" s="326"/>
    </row>
    <row r="57" spans="2:25">
      <c r="B57" s="244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24"/>
      <c r="U57" s="103"/>
      <c r="V57" s="326" t="s">
        <v>103</v>
      </c>
      <c r="W57" s="326"/>
      <c r="X57" s="326"/>
    </row>
    <row r="58" spans="2:25">
      <c r="B58" s="2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24"/>
      <c r="U58" s="103"/>
      <c r="V58" s="326" t="s">
        <v>106</v>
      </c>
      <c r="W58" s="326"/>
      <c r="X58" s="326"/>
    </row>
    <row r="59" spans="2:25">
      <c r="B59" s="244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24"/>
      <c r="U59" s="103"/>
      <c r="V59" s="327" t="s">
        <v>107</v>
      </c>
      <c r="W59" s="326"/>
      <c r="X59" s="326"/>
    </row>
    <row r="60" spans="2:25">
      <c r="B60" s="244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49"/>
      <c r="V60" s="327"/>
      <c r="W60" s="326"/>
      <c r="X60" s="326"/>
      <c r="Y60" s="325"/>
    </row>
    <row r="61" spans="2:25">
      <c r="B61" s="2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241"/>
    </row>
    <row r="62" spans="2:25">
      <c r="B62" s="244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241"/>
    </row>
    <row r="63" spans="2:25">
      <c r="B63" s="244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241"/>
    </row>
    <row r="64" spans="2:25">
      <c r="B64" s="244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241"/>
    </row>
    <row r="65" spans="2:23">
      <c r="B65" s="244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241"/>
    </row>
    <row r="66" spans="2:23">
      <c r="B66" s="244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241"/>
    </row>
    <row r="67" spans="2:23">
      <c r="B67" s="244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241"/>
    </row>
    <row r="68" spans="2:23">
      <c r="B68" s="244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241"/>
    </row>
    <row r="69" spans="2:23">
      <c r="B69" s="244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241"/>
    </row>
    <row r="70" spans="2:23" ht="13.5" thickBot="1">
      <c r="B70" s="246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241"/>
    </row>
    <row r="71" spans="2:23">
      <c r="C71" s="212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6"/>
    </row>
    <row r="72" spans="2:23">
      <c r="C72" s="214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215"/>
    </row>
    <row r="73" spans="2:23">
      <c r="C73" s="214"/>
      <c r="D73" s="108"/>
      <c r="E73" s="221" t="s">
        <v>410</v>
      </c>
      <c r="F73" s="221"/>
      <c r="G73" s="221"/>
      <c r="H73" s="221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215"/>
    </row>
    <row r="74" spans="2:23">
      <c r="C74" s="214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221" t="s">
        <v>411</v>
      </c>
      <c r="O74" s="108"/>
      <c r="P74" s="108"/>
      <c r="Q74" s="108"/>
      <c r="R74" s="108"/>
      <c r="S74" s="108"/>
      <c r="T74" s="108"/>
      <c r="U74" s="108"/>
      <c r="V74" s="108"/>
      <c r="W74" s="215"/>
    </row>
    <row r="75" spans="2:23">
      <c r="C75" s="214"/>
      <c r="D75" s="108"/>
      <c r="E75" s="221" t="s">
        <v>394</v>
      </c>
      <c r="F75" s="108"/>
      <c r="G75" s="108"/>
      <c r="H75" s="108"/>
      <c r="I75" s="108"/>
      <c r="J75" s="108"/>
      <c r="K75" s="108"/>
      <c r="L75" s="108"/>
      <c r="M75" s="108"/>
      <c r="N75" s="339" t="s">
        <v>412</v>
      </c>
      <c r="O75" s="108"/>
      <c r="P75" s="108"/>
      <c r="Q75" s="108"/>
      <c r="R75" s="108"/>
      <c r="S75" s="108"/>
      <c r="T75" s="108"/>
      <c r="U75" s="108"/>
      <c r="V75" s="108"/>
      <c r="W75" s="215"/>
    </row>
    <row r="76" spans="2:23">
      <c r="C76" s="214"/>
      <c r="D76" s="108"/>
      <c r="E76" s="108"/>
      <c r="F76" s="108"/>
      <c r="G76" s="339" t="s">
        <v>391</v>
      </c>
      <c r="H76" s="108"/>
      <c r="I76" s="108"/>
      <c r="J76" s="108"/>
      <c r="K76" s="108"/>
      <c r="L76" s="216" t="s">
        <v>338</v>
      </c>
      <c r="M76" s="108"/>
      <c r="N76" s="221" t="s">
        <v>195</v>
      </c>
      <c r="O76" s="237">
        <f>E39</f>
        <v>0</v>
      </c>
      <c r="P76" s="199">
        <v>1</v>
      </c>
      <c r="Q76" s="199">
        <v>2</v>
      </c>
      <c r="R76" s="199">
        <v>3</v>
      </c>
      <c r="S76" s="199">
        <v>4</v>
      </c>
      <c r="T76" s="199">
        <v>4</v>
      </c>
      <c r="U76" s="199">
        <v>4</v>
      </c>
      <c r="V76" s="110">
        <f>I39</f>
        <v>4</v>
      </c>
      <c r="W76" s="215"/>
    </row>
    <row r="77" spans="2:23">
      <c r="C77" s="214"/>
      <c r="D77" s="108"/>
      <c r="E77" s="108"/>
      <c r="F77" s="339" t="s">
        <v>373</v>
      </c>
      <c r="G77" s="108"/>
      <c r="H77" s="108"/>
      <c r="I77" s="108"/>
      <c r="J77" s="108"/>
      <c r="K77" s="108"/>
      <c r="L77" s="108"/>
      <c r="M77" s="108"/>
      <c r="N77" s="339" t="s">
        <v>218</v>
      </c>
      <c r="O77" s="237">
        <f t="shared" ref="O77:V77" si="3">$D$48*O$76^2+$G$48*O$76+$J$48</f>
        <v>1.92</v>
      </c>
      <c r="P77" s="237">
        <f t="shared" si="3"/>
        <v>3.24</v>
      </c>
      <c r="Q77" s="237">
        <f t="shared" si="3"/>
        <v>4.26</v>
      </c>
      <c r="R77" s="237">
        <f t="shared" si="3"/>
        <v>4.9800000000000004</v>
      </c>
      <c r="S77" s="237">
        <f t="shared" si="3"/>
        <v>5.4</v>
      </c>
      <c r="T77" s="237">
        <f t="shared" si="3"/>
        <v>5.4</v>
      </c>
      <c r="U77" s="237">
        <f t="shared" si="3"/>
        <v>5.4</v>
      </c>
      <c r="V77" s="237">
        <f t="shared" si="3"/>
        <v>5.4</v>
      </c>
      <c r="W77" s="215"/>
    </row>
    <row r="78" spans="2:23" ht="15.75">
      <c r="C78" s="214"/>
      <c r="D78" s="108"/>
      <c r="E78" s="221"/>
      <c r="F78" s="221" t="s">
        <v>195</v>
      </c>
      <c r="G78" s="261">
        <f t="shared" ref="G78:K79" si="4">C23</f>
        <v>0</v>
      </c>
      <c r="H78" s="261">
        <f t="shared" si="4"/>
        <v>1</v>
      </c>
      <c r="I78" s="261">
        <f t="shared" si="4"/>
        <v>2</v>
      </c>
      <c r="J78" s="261">
        <f t="shared" si="4"/>
        <v>3</v>
      </c>
      <c r="K78" s="261">
        <f t="shared" si="4"/>
        <v>4</v>
      </c>
      <c r="L78" s="108"/>
      <c r="M78" s="108"/>
      <c r="N78" s="339" t="s">
        <v>219</v>
      </c>
      <c r="O78" s="238" t="s">
        <v>214</v>
      </c>
      <c r="P78" s="238">
        <f t="shared" ref="P78:V78" si="5">(P77-O77)/(P76-O76)</f>
        <v>1.3200000000000003</v>
      </c>
      <c r="Q78" s="238">
        <f t="shared" si="5"/>
        <v>1.0199999999999996</v>
      </c>
      <c r="R78" s="238">
        <f t="shared" si="5"/>
        <v>0.72000000000000064</v>
      </c>
      <c r="S78" s="238">
        <f t="shared" si="5"/>
        <v>0.41999999999999993</v>
      </c>
      <c r="T78" s="238" t="e">
        <f t="shared" si="5"/>
        <v>#DIV/0!</v>
      </c>
      <c r="U78" s="238" t="e">
        <f t="shared" si="5"/>
        <v>#DIV/0!</v>
      </c>
      <c r="V78" s="238" t="e">
        <f t="shared" si="5"/>
        <v>#DIV/0!</v>
      </c>
      <c r="W78" s="215"/>
    </row>
    <row r="79" spans="2:23" ht="15.75">
      <c r="C79" s="214"/>
      <c r="D79" s="108"/>
      <c r="E79" s="221"/>
      <c r="F79" s="221" t="s">
        <v>196</v>
      </c>
      <c r="G79" s="262">
        <f t="shared" si="4"/>
        <v>6</v>
      </c>
      <c r="H79" s="262">
        <f t="shared" si="4"/>
        <v>4.5</v>
      </c>
      <c r="I79" s="262">
        <f t="shared" si="4"/>
        <v>3</v>
      </c>
      <c r="J79" s="262">
        <f t="shared" si="4"/>
        <v>1.5</v>
      </c>
      <c r="K79" s="262">
        <f t="shared" si="4"/>
        <v>0</v>
      </c>
      <c r="L79" s="108"/>
      <c r="M79" s="108"/>
      <c r="N79" s="221" t="s">
        <v>196</v>
      </c>
      <c r="O79" s="393">
        <f>E40</f>
        <v>6</v>
      </c>
      <c r="P79" s="199">
        <v>10</v>
      </c>
      <c r="Q79" s="199">
        <v>8</v>
      </c>
      <c r="R79" s="199">
        <v>5</v>
      </c>
      <c r="S79" s="199">
        <v>2</v>
      </c>
      <c r="T79" s="199">
        <v>2</v>
      </c>
      <c r="U79" s="199">
        <v>1</v>
      </c>
      <c r="V79" s="237">
        <f>I40</f>
        <v>0</v>
      </c>
      <c r="W79" s="215"/>
    </row>
    <row r="80" spans="2:23">
      <c r="C80" s="214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339" t="s">
        <v>220</v>
      </c>
      <c r="O80" s="237">
        <f t="shared" ref="O80:V80" si="6">$D$50*O$79^2+$G$50*O$79+$J$50</f>
        <v>5.16</v>
      </c>
      <c r="P80" s="237">
        <f t="shared" si="6"/>
        <v>4.3200000000000012</v>
      </c>
      <c r="Q80" s="237">
        <f t="shared" si="6"/>
        <v>5.0600000000000005</v>
      </c>
      <c r="R80" s="237">
        <f t="shared" si="6"/>
        <v>4.9700000000000006</v>
      </c>
      <c r="S80" s="237">
        <f t="shared" si="6"/>
        <v>3.4400000000000004</v>
      </c>
      <c r="T80" s="237">
        <f t="shared" si="6"/>
        <v>3.4400000000000004</v>
      </c>
      <c r="U80" s="237">
        <f t="shared" si="6"/>
        <v>2.6100000000000003</v>
      </c>
      <c r="V80" s="237">
        <f t="shared" si="6"/>
        <v>1.62</v>
      </c>
      <c r="W80" s="215"/>
    </row>
    <row r="81" spans="3:23" ht="15.75">
      <c r="C81" s="214"/>
      <c r="D81" s="108"/>
      <c r="E81" s="239" t="s">
        <v>221</v>
      </c>
      <c r="F81" s="111">
        <f>INDEX(LINEST(G79:K79,G78:K78),2)</f>
        <v>6</v>
      </c>
      <c r="G81" s="339" t="s">
        <v>204</v>
      </c>
      <c r="H81" s="111">
        <f>LINEST(G79:K79,G78:K78,,0)</f>
        <v>-1.5</v>
      </c>
      <c r="I81" s="338" t="s">
        <v>222</v>
      </c>
      <c r="J81" s="108"/>
      <c r="K81" s="223"/>
      <c r="L81" s="111"/>
      <c r="M81" s="108"/>
      <c r="N81" s="339" t="s">
        <v>215</v>
      </c>
      <c r="O81" s="238">
        <f t="shared" ref="O81:T81" si="7">(O80-P80)/(O79-P79)</f>
        <v>-0.20999999999999974</v>
      </c>
      <c r="P81" s="238">
        <f t="shared" si="7"/>
        <v>-0.36999999999999966</v>
      </c>
      <c r="Q81" s="238">
        <f t="shared" si="7"/>
        <v>2.9999999999999954E-2</v>
      </c>
      <c r="R81" s="238">
        <f t="shared" si="7"/>
        <v>0.51000000000000012</v>
      </c>
      <c r="S81" s="238" t="e">
        <f t="shared" si="7"/>
        <v>#DIV/0!</v>
      </c>
      <c r="T81" s="238">
        <f t="shared" si="7"/>
        <v>0.83000000000000007</v>
      </c>
      <c r="U81" s="238">
        <f>(U80-V80)/(U79-V79)</f>
        <v>0.99000000000000021</v>
      </c>
      <c r="V81" s="338" t="s">
        <v>214</v>
      </c>
      <c r="W81" s="215"/>
    </row>
    <row r="82" spans="3:23">
      <c r="C82" s="214"/>
      <c r="D82" s="108"/>
      <c r="E82" s="108"/>
      <c r="F82" s="108"/>
      <c r="G82" s="108"/>
      <c r="H82" s="111"/>
      <c r="I82" s="108"/>
      <c r="J82" s="108"/>
      <c r="K82" s="108"/>
      <c r="L82" s="108"/>
      <c r="M82" s="108"/>
      <c r="N82" s="339" t="s">
        <v>223</v>
      </c>
      <c r="O82" s="230">
        <f>O77+O80</f>
        <v>7.08</v>
      </c>
      <c r="P82" s="230">
        <f t="shared" ref="P82:V82" si="8">P77+P80</f>
        <v>7.5600000000000014</v>
      </c>
      <c r="Q82" s="230">
        <f t="shared" si="8"/>
        <v>9.32</v>
      </c>
      <c r="R82" s="230">
        <f t="shared" si="8"/>
        <v>9.9500000000000011</v>
      </c>
      <c r="S82" s="230">
        <f t="shared" si="8"/>
        <v>8.84</v>
      </c>
      <c r="T82" s="230">
        <f t="shared" si="8"/>
        <v>8.84</v>
      </c>
      <c r="U82" s="230">
        <f t="shared" si="8"/>
        <v>8.0100000000000016</v>
      </c>
      <c r="V82" s="230">
        <f t="shared" si="8"/>
        <v>7.0200000000000005</v>
      </c>
      <c r="W82" s="215"/>
    </row>
    <row r="83" spans="3:23">
      <c r="C83" s="214"/>
      <c r="D83" s="108"/>
      <c r="E83" s="108" t="s">
        <v>386</v>
      </c>
      <c r="F83" s="108"/>
      <c r="G83" s="108"/>
      <c r="H83" s="108"/>
      <c r="I83" s="108"/>
      <c r="J83" s="108"/>
      <c r="K83" s="108"/>
      <c r="L83" s="108"/>
      <c r="M83" s="108"/>
      <c r="N83" s="385" t="s">
        <v>413</v>
      </c>
      <c r="O83" s="108"/>
      <c r="P83" s="108"/>
      <c r="Q83" s="108"/>
      <c r="R83" s="108"/>
      <c r="S83" s="108"/>
      <c r="T83" s="108"/>
      <c r="U83" s="108"/>
      <c r="V83" s="108"/>
      <c r="W83" s="215"/>
    </row>
    <row r="84" spans="3:23">
      <c r="C84" s="214"/>
      <c r="D84" s="108"/>
      <c r="E84" s="110" t="s">
        <v>188</v>
      </c>
      <c r="F84" s="240">
        <f>-H81</f>
        <v>1.5</v>
      </c>
      <c r="G84" s="110" t="s">
        <v>189</v>
      </c>
      <c r="H84" s="110">
        <v>1</v>
      </c>
      <c r="I84" s="108"/>
      <c r="J84" s="108" t="s">
        <v>190</v>
      </c>
      <c r="K84" s="111">
        <f>F81</f>
        <v>6</v>
      </c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215"/>
    </row>
    <row r="85" spans="3:23">
      <c r="C85" s="214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215"/>
    </row>
    <row r="86" spans="3:23">
      <c r="C86" s="214"/>
      <c r="D86" s="108"/>
      <c r="E86" s="108"/>
      <c r="F86" s="339" t="s">
        <v>395</v>
      </c>
      <c r="G86" s="108"/>
      <c r="H86" s="108"/>
      <c r="I86" s="339" t="s">
        <v>396</v>
      </c>
      <c r="J86" s="108"/>
      <c r="K86" s="108"/>
      <c r="L86" s="10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241"/>
    </row>
    <row r="87" spans="3:23">
      <c r="C87" s="214"/>
      <c r="D87" s="108"/>
      <c r="E87" s="201" t="s">
        <v>387</v>
      </c>
      <c r="F87" s="105"/>
      <c r="G87" s="105"/>
      <c r="H87" s="105"/>
      <c r="I87" s="105"/>
      <c r="J87" s="105"/>
      <c r="K87" s="106"/>
      <c r="L87" s="10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241"/>
    </row>
    <row r="88" spans="3:23" ht="15.75">
      <c r="C88" s="214"/>
      <c r="D88" s="108"/>
      <c r="E88" s="394" t="s">
        <v>197</v>
      </c>
      <c r="F88" s="108"/>
      <c r="G88" s="108"/>
      <c r="H88" s="338" t="s">
        <v>198</v>
      </c>
      <c r="I88" s="108"/>
      <c r="J88" s="338" t="s">
        <v>159</v>
      </c>
      <c r="K88" s="395" t="s">
        <v>199</v>
      </c>
      <c r="L88" s="10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241"/>
    </row>
    <row r="89" spans="3:23" ht="14.25">
      <c r="C89" s="214"/>
      <c r="D89" s="108"/>
      <c r="E89" s="217">
        <f>F84</f>
        <v>1.5</v>
      </c>
      <c r="F89" s="218" t="s">
        <v>200</v>
      </c>
      <c r="G89" s="218" t="s">
        <v>22</v>
      </c>
      <c r="H89" s="218">
        <f>H84</f>
        <v>1</v>
      </c>
      <c r="I89" s="218" t="s">
        <v>201</v>
      </c>
      <c r="J89" s="219"/>
      <c r="K89" s="220">
        <f>K84</f>
        <v>6</v>
      </c>
      <c r="L89" s="10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241"/>
    </row>
    <row r="90" spans="3:23">
      <c r="C90" s="214"/>
      <c r="D90" s="108"/>
      <c r="E90" s="108"/>
      <c r="F90" s="108"/>
      <c r="G90" s="108"/>
      <c r="H90" s="108"/>
      <c r="I90" s="108"/>
      <c r="J90" s="108"/>
      <c r="K90" s="108"/>
      <c r="L90" s="10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241"/>
    </row>
    <row r="91" spans="3:23">
      <c r="C91" s="214"/>
      <c r="D91" s="108"/>
      <c r="E91" s="108"/>
      <c r="F91" s="339" t="s">
        <v>422</v>
      </c>
      <c r="G91" s="108"/>
      <c r="H91" s="108"/>
      <c r="I91" s="108"/>
      <c r="J91" s="108"/>
      <c r="K91" s="108"/>
      <c r="L91" s="10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241"/>
    </row>
    <row r="92" spans="3:23">
      <c r="C92" s="214"/>
      <c r="D92" s="108"/>
      <c r="E92" s="108"/>
      <c r="F92" s="108"/>
      <c r="G92" s="108"/>
      <c r="H92" s="108"/>
      <c r="I92" s="108"/>
      <c r="J92" s="108"/>
      <c r="K92" s="108"/>
      <c r="L92" s="10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241"/>
    </row>
    <row r="93" spans="3:23">
      <c r="C93" s="214"/>
      <c r="D93" s="108"/>
      <c r="E93" s="339" t="s">
        <v>393</v>
      </c>
      <c r="F93" s="108">
        <v>0</v>
      </c>
      <c r="G93" s="108">
        <v>1</v>
      </c>
      <c r="H93" s="108">
        <v>3</v>
      </c>
      <c r="I93" s="108">
        <v>7</v>
      </c>
      <c r="J93" s="108">
        <f>K84/F84</f>
        <v>4</v>
      </c>
      <c r="K93" s="108"/>
      <c r="L93" s="10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241"/>
    </row>
    <row r="94" spans="3:23">
      <c r="C94" s="214"/>
      <c r="D94" s="108"/>
      <c r="E94" s="108" t="s">
        <v>212</v>
      </c>
      <c r="F94" s="108">
        <f>$C$8*F93</f>
        <v>0</v>
      </c>
      <c r="G94" s="108">
        <f>$C$8*G93</f>
        <v>3</v>
      </c>
      <c r="H94" s="108">
        <f>$C$8*H93</f>
        <v>9</v>
      </c>
      <c r="I94" s="108">
        <f>$C$8*I93</f>
        <v>21</v>
      </c>
      <c r="J94" s="108">
        <f>$C$8*J93</f>
        <v>12</v>
      </c>
      <c r="K94" s="108"/>
      <c r="L94" s="10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241"/>
    </row>
    <row r="95" spans="3:23">
      <c r="C95" s="214"/>
      <c r="D95" s="108"/>
      <c r="E95" s="108" t="s">
        <v>213</v>
      </c>
      <c r="F95" s="108">
        <f>$E$8*($B$15+$D$15*F93)</f>
        <v>12</v>
      </c>
      <c r="G95" s="108">
        <f>$E$8*($B$15+$D$15*G93)</f>
        <v>9</v>
      </c>
      <c r="H95" s="108">
        <f>$E$8*($B$15+$D$15*H93)</f>
        <v>3</v>
      </c>
      <c r="I95" s="108">
        <f>$E$8*($B$15+$D$15*I93)</f>
        <v>-9</v>
      </c>
      <c r="J95" s="108">
        <f>$E$8*($B$15+$D$15*J93)</f>
        <v>0</v>
      </c>
      <c r="K95" s="108"/>
      <c r="L95" s="10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241"/>
    </row>
    <row r="96" spans="3:23">
      <c r="C96" s="214"/>
      <c r="D96" s="108"/>
      <c r="E96" s="108"/>
      <c r="F96" s="226">
        <f>SUM(F94:F95)</f>
        <v>12</v>
      </c>
      <c r="G96" s="226">
        <f>SUM(G94:G95)</f>
        <v>12</v>
      </c>
      <c r="H96" s="226">
        <f>SUM(H94:H95)</f>
        <v>12</v>
      </c>
      <c r="I96" s="226">
        <f>SUM(I94:I95)</f>
        <v>12</v>
      </c>
      <c r="J96" s="226">
        <f>SUM(J94:J95)</f>
        <v>12</v>
      </c>
      <c r="K96" s="108"/>
      <c r="L96" s="10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241"/>
    </row>
    <row r="97" spans="3:23">
      <c r="C97" s="214"/>
      <c r="D97" s="108"/>
      <c r="E97" s="108"/>
      <c r="F97" s="108"/>
      <c r="G97" s="108"/>
      <c r="H97" s="108"/>
      <c r="I97" s="108"/>
      <c r="J97" s="108"/>
      <c r="K97" s="108"/>
      <c r="L97" s="10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241"/>
    </row>
    <row r="98" spans="3:23">
      <c r="C98" s="244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241"/>
    </row>
    <row r="99" spans="3:23">
      <c r="C99" s="244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241"/>
    </row>
    <row r="100" spans="3:23">
      <c r="C100" s="244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241"/>
    </row>
    <row r="101" spans="3:23">
      <c r="C101" s="244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241"/>
    </row>
    <row r="102" spans="3:23">
      <c r="C102" s="244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241"/>
    </row>
    <row r="103" spans="3:23">
      <c r="C103" s="244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241"/>
    </row>
    <row r="104" spans="3:23">
      <c r="C104" s="244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241"/>
    </row>
    <row r="105" spans="3:23">
      <c r="C105" s="244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241"/>
    </row>
    <row r="106" spans="3:23">
      <c r="C106" s="244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241"/>
    </row>
    <row r="107" spans="3:23">
      <c r="C107" s="244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241"/>
    </row>
    <row r="108" spans="3:23">
      <c r="C108" s="244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241"/>
    </row>
    <row r="109" spans="3:23">
      <c r="C109" s="244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241"/>
    </row>
    <row r="110" spans="3:23">
      <c r="C110" s="244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245" t="s">
        <v>12</v>
      </c>
      <c r="Q110" s="188"/>
      <c r="R110" s="188"/>
      <c r="S110" s="188"/>
      <c r="T110" s="188"/>
      <c r="U110" s="188"/>
      <c r="V110" s="188"/>
      <c r="W110" s="241"/>
    </row>
    <row r="111" spans="3:23">
      <c r="C111" s="244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241"/>
    </row>
    <row r="112" spans="3:23">
      <c r="C112" s="244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241"/>
    </row>
    <row r="113" spans="1:23">
      <c r="C113" s="244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241"/>
    </row>
    <row r="114" spans="1:23">
      <c r="C114" s="244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241"/>
    </row>
    <row r="115" spans="1:23">
      <c r="C115" s="244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241"/>
    </row>
    <row r="116" spans="1:23">
      <c r="C116" s="244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241"/>
    </row>
    <row r="117" spans="1:23">
      <c r="C117" s="244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241"/>
    </row>
    <row r="118" spans="1:23">
      <c r="C118" s="244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241"/>
    </row>
    <row r="119" spans="1:23">
      <c r="C119" s="244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241"/>
    </row>
    <row r="120" spans="1:23">
      <c r="C120" s="244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241"/>
    </row>
    <row r="121" spans="1:23">
      <c r="C121" s="244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241"/>
    </row>
    <row r="122" spans="1:23" ht="13.5" thickBot="1">
      <c r="C122" s="246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8"/>
    </row>
    <row r="123" spans="1:23">
      <c r="P123" s="24"/>
    </row>
    <row r="124" spans="1:23">
      <c r="A124" s="430" t="s">
        <v>518</v>
      </c>
      <c r="B124" s="103"/>
      <c r="P124" s="24"/>
    </row>
    <row r="125" spans="1:23">
      <c r="A125" s="431" t="s">
        <v>510</v>
      </c>
      <c r="B125" s="432"/>
      <c r="P125" s="24"/>
    </row>
    <row r="126" spans="1:23">
      <c r="A126" s="431" t="s">
        <v>511</v>
      </c>
      <c r="B126" s="432"/>
      <c r="P126" s="24"/>
    </row>
    <row r="127" spans="1:23">
      <c r="A127" s="431" t="s">
        <v>512</v>
      </c>
      <c r="B127" s="432"/>
      <c r="P127" s="24"/>
    </row>
    <row r="128" spans="1:23">
      <c r="A128" s="431" t="s">
        <v>513</v>
      </c>
      <c r="B128" s="432"/>
      <c r="P128" s="24"/>
    </row>
    <row r="129" spans="1:2">
      <c r="A129" s="431" t="s">
        <v>514</v>
      </c>
      <c r="B129" s="432"/>
    </row>
    <row r="130" spans="1:2">
      <c r="A130" s="431" t="s">
        <v>515</v>
      </c>
      <c r="B130" s="431"/>
    </row>
    <row r="131" spans="1:2">
      <c r="A131" s="431" t="s">
        <v>516</v>
      </c>
      <c r="B131" s="431"/>
    </row>
    <row r="132" spans="1:2">
      <c r="A132" s="431" t="s">
        <v>517</v>
      </c>
      <c r="B132" s="43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S80"/>
  <sheetViews>
    <sheetView topLeftCell="A15" zoomScale="70" zoomScaleNormal="70" workbookViewId="0">
      <selection activeCell="A30" sqref="A30:B38"/>
    </sheetView>
  </sheetViews>
  <sheetFormatPr defaultRowHeight="12.75"/>
  <cols>
    <col min="3" max="3" width="10.140625" bestFit="1" customWidth="1"/>
    <col min="5" max="5" width="11.7109375" customWidth="1"/>
    <col min="6" max="6" width="14.140625" customWidth="1"/>
    <col min="18" max="18" width="7.7109375" customWidth="1"/>
    <col min="22" max="22" width="10.140625" bestFit="1" customWidth="1"/>
  </cols>
  <sheetData>
    <row r="1" spans="1:41" ht="15">
      <c r="B1" s="103"/>
      <c r="C1" s="103"/>
      <c r="D1" s="103"/>
      <c r="E1" s="129"/>
      <c r="F1" s="129" t="s">
        <v>449</v>
      </c>
      <c r="G1" s="151"/>
      <c r="H1" s="151"/>
      <c r="I1" s="151"/>
      <c r="J1" s="151"/>
      <c r="K1" s="151"/>
      <c r="L1" s="151"/>
      <c r="M1" s="152"/>
      <c r="N1" s="103"/>
      <c r="O1" s="102" t="s">
        <v>1</v>
      </c>
      <c r="P1" s="103"/>
      <c r="Q1" s="103"/>
      <c r="R1" s="103"/>
      <c r="S1" s="103"/>
      <c r="T1" s="103"/>
      <c r="U1" s="103"/>
      <c r="V1" s="103"/>
      <c r="W1" s="103"/>
    </row>
    <row r="2" spans="1:41" ht="15.75">
      <c r="B2" s="103"/>
      <c r="C2" s="103"/>
      <c r="D2" s="153" t="s">
        <v>450</v>
      </c>
      <c r="E2" s="103"/>
      <c r="F2" s="103"/>
      <c r="G2" s="151"/>
      <c r="H2" s="151"/>
      <c r="I2" s="151"/>
      <c r="J2" s="151"/>
      <c r="K2" s="152"/>
      <c r="L2" s="152"/>
      <c r="M2" s="152"/>
      <c r="N2" s="103"/>
      <c r="O2" s="102" t="s">
        <v>43</v>
      </c>
      <c r="P2" s="103"/>
      <c r="Q2" s="103"/>
      <c r="R2" s="103"/>
      <c r="S2" s="103"/>
      <c r="T2" s="103"/>
      <c r="U2" s="103"/>
      <c r="V2" s="103"/>
      <c r="W2" s="103"/>
    </row>
    <row r="3" spans="1:41">
      <c r="B3" s="102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AI3" s="90" t="s">
        <v>438</v>
      </c>
    </row>
    <row r="5" spans="1:41" ht="15">
      <c r="AI5" s="39">
        <f>A9</f>
        <v>2</v>
      </c>
      <c r="AJ5" s="380" t="s">
        <v>225</v>
      </c>
      <c r="AK5" s="39">
        <f>(-G9+(D9*E13))</f>
        <v>-200</v>
      </c>
      <c r="AL5" s="380" t="s">
        <v>226</v>
      </c>
      <c r="AM5" s="39">
        <f>D9</f>
        <v>6</v>
      </c>
      <c r="AN5" s="41" t="s">
        <v>227</v>
      </c>
      <c r="AO5" s="380"/>
    </row>
    <row r="6" spans="1:41">
      <c r="A6" s="103"/>
      <c r="B6" s="103"/>
      <c r="C6" s="103"/>
      <c r="D6" s="103"/>
      <c r="E6" s="92" t="s">
        <v>338</v>
      </c>
      <c r="F6" s="103"/>
      <c r="G6" s="103"/>
      <c r="T6" s="103"/>
      <c r="U6" s="103"/>
      <c r="V6" s="103"/>
      <c r="W6" s="103"/>
      <c r="X6" s="103"/>
      <c r="Y6" s="103"/>
      <c r="Z6" s="103"/>
    </row>
    <row r="7" spans="1:41" ht="15">
      <c r="A7" s="98" t="s">
        <v>429</v>
      </c>
      <c r="B7" s="51"/>
      <c r="C7" s="51"/>
      <c r="D7" s="103"/>
      <c r="E7" s="103"/>
      <c r="F7" s="103"/>
      <c r="G7" s="103"/>
      <c r="T7" s="97" t="s">
        <v>433</v>
      </c>
      <c r="U7" s="97"/>
      <c r="V7" s="97"/>
      <c r="W7" s="103"/>
      <c r="X7" s="103"/>
      <c r="Y7" s="103"/>
      <c r="Z7" s="103"/>
      <c r="AI7" s="90" t="s">
        <v>228</v>
      </c>
      <c r="AJ7">
        <f>AK5^2</f>
        <v>40000</v>
      </c>
      <c r="AK7" s="90" t="s">
        <v>229</v>
      </c>
      <c r="AL7">
        <f>4*AI5*AM5</f>
        <v>48</v>
      </c>
      <c r="AM7" s="41" t="s">
        <v>230</v>
      </c>
    </row>
    <row r="8" spans="1:41" ht="15.75">
      <c r="A8" s="130" t="s">
        <v>197</v>
      </c>
      <c r="B8" s="103"/>
      <c r="C8" s="103"/>
      <c r="D8" s="130" t="s">
        <v>198</v>
      </c>
      <c r="E8" s="103"/>
      <c r="F8" s="103"/>
      <c r="G8" s="130" t="s">
        <v>199</v>
      </c>
      <c r="T8" s="130" t="s">
        <v>197</v>
      </c>
      <c r="U8" s="103"/>
      <c r="V8" s="103"/>
      <c r="W8" s="130" t="s">
        <v>198</v>
      </c>
      <c r="X8" s="103"/>
      <c r="Y8" s="103"/>
      <c r="Z8" s="130" t="s">
        <v>199</v>
      </c>
    </row>
    <row r="9" spans="1:41" ht="16.5">
      <c r="A9" s="150">
        <v>2</v>
      </c>
      <c r="B9" s="130" t="s">
        <v>231</v>
      </c>
      <c r="C9" s="130" t="s">
        <v>22</v>
      </c>
      <c r="D9" s="150">
        <v>6</v>
      </c>
      <c r="E9" s="130" t="s">
        <v>232</v>
      </c>
      <c r="F9" s="130" t="s">
        <v>159</v>
      </c>
      <c r="G9" s="150">
        <v>200</v>
      </c>
      <c r="T9" s="150">
        <v>2</v>
      </c>
      <c r="U9" s="130" t="s">
        <v>231</v>
      </c>
      <c r="V9" s="130" t="s">
        <v>22</v>
      </c>
      <c r="W9" s="150">
        <v>7</v>
      </c>
      <c r="X9" s="130" t="s">
        <v>232</v>
      </c>
      <c r="Y9" s="130" t="s">
        <v>159</v>
      </c>
      <c r="Z9" s="150">
        <v>200</v>
      </c>
      <c r="AJ9" s="41" t="s">
        <v>233</v>
      </c>
      <c r="AK9">
        <f>-(-AK5^2)/-AL7</f>
        <v>833.33333333333337</v>
      </c>
    </row>
    <row r="10" spans="1:41">
      <c r="A10" s="103"/>
      <c r="B10" s="103"/>
      <c r="C10" s="103"/>
      <c r="D10" s="103"/>
      <c r="E10" s="103"/>
      <c r="F10" s="103"/>
      <c r="G10" s="103"/>
      <c r="T10" s="103"/>
      <c r="U10" s="103"/>
      <c r="V10" s="103"/>
      <c r="W10" s="103"/>
      <c r="X10" s="103"/>
      <c r="Y10" s="103"/>
      <c r="Z10" s="103"/>
      <c r="AI10" s="90" t="s">
        <v>437</v>
      </c>
    </row>
    <row r="11" spans="1:41">
      <c r="A11" s="98" t="s">
        <v>432</v>
      </c>
      <c r="B11" s="51"/>
      <c r="C11" s="51"/>
      <c r="D11" s="51"/>
      <c r="E11" s="103"/>
      <c r="F11" s="103"/>
      <c r="G11" s="103"/>
      <c r="S11" s="97"/>
      <c r="T11" s="97" t="s">
        <v>434</v>
      </c>
      <c r="U11" s="97"/>
      <c r="V11" s="97"/>
      <c r="W11" s="97"/>
      <c r="X11" s="103"/>
      <c r="Y11" s="103"/>
      <c r="Z11" s="103"/>
    </row>
    <row r="12" spans="1:41" ht="15.75">
      <c r="A12" s="103"/>
      <c r="B12" s="103"/>
      <c r="C12" s="103"/>
      <c r="D12" s="103"/>
      <c r="E12" s="103"/>
      <c r="F12" s="103"/>
      <c r="G12" s="103"/>
      <c r="T12" s="103"/>
      <c r="U12" s="103"/>
      <c r="V12" s="103"/>
      <c r="W12" s="103"/>
      <c r="X12" s="103"/>
      <c r="Y12" s="103"/>
      <c r="Z12" s="103"/>
      <c r="AI12" s="380" t="s">
        <v>235</v>
      </c>
      <c r="AJ12">
        <f>-AK5/(2*AI5)</f>
        <v>50</v>
      </c>
      <c r="AM12" s="90" t="s">
        <v>447</v>
      </c>
      <c r="AN12">
        <f>AJ12</f>
        <v>50</v>
      </c>
      <c r="AO12">
        <f>AJ12</f>
        <v>50</v>
      </c>
    </row>
    <row r="13" spans="1:41" ht="16.5">
      <c r="A13" s="82"/>
      <c r="B13" s="130" t="s">
        <v>237</v>
      </c>
      <c r="C13" s="269" t="s">
        <v>238</v>
      </c>
      <c r="D13" s="130" t="s">
        <v>22</v>
      </c>
      <c r="E13" s="150">
        <v>0</v>
      </c>
      <c r="F13" s="103"/>
      <c r="G13" s="103"/>
      <c r="T13" s="82"/>
      <c r="U13" s="130" t="s">
        <v>237</v>
      </c>
      <c r="V13" s="269" t="s">
        <v>238</v>
      </c>
      <c r="W13" s="130" t="s">
        <v>22</v>
      </c>
      <c r="X13" s="150">
        <v>0</v>
      </c>
      <c r="Y13" s="103"/>
      <c r="Z13" s="103"/>
      <c r="AN13">
        <v>0</v>
      </c>
      <c r="AO13">
        <f>AJ16</f>
        <v>16.666666666666668</v>
      </c>
    </row>
    <row r="14" spans="1:41" ht="15.75">
      <c r="A14" s="82"/>
      <c r="B14" s="82"/>
      <c r="C14" s="130" t="s">
        <v>222</v>
      </c>
      <c r="D14" s="82"/>
      <c r="E14" s="82"/>
      <c r="F14" s="103"/>
      <c r="G14" s="103"/>
      <c r="T14" s="82"/>
      <c r="U14" s="82"/>
      <c r="V14" s="130" t="s">
        <v>222</v>
      </c>
      <c r="W14" s="82"/>
      <c r="X14" s="82"/>
      <c r="Y14" s="103"/>
      <c r="Z14" s="103"/>
      <c r="AI14" s="380" t="s">
        <v>237</v>
      </c>
      <c r="AJ14" s="40">
        <f>AK9</f>
        <v>833.33333333333337</v>
      </c>
      <c r="AK14" s="380" t="s">
        <v>22</v>
      </c>
      <c r="AL14" s="39">
        <f>E13</f>
        <v>0</v>
      </c>
    </row>
    <row r="15" spans="1:41" ht="15.75">
      <c r="A15" s="102" t="s">
        <v>431</v>
      </c>
      <c r="B15" s="103"/>
      <c r="C15" s="103"/>
      <c r="D15" s="103"/>
      <c r="E15" s="103"/>
      <c r="F15" s="103"/>
      <c r="G15" s="103"/>
      <c r="T15" s="102" t="s">
        <v>435</v>
      </c>
      <c r="U15" s="103"/>
      <c r="V15" s="103"/>
      <c r="W15" s="103"/>
      <c r="X15" s="103"/>
      <c r="Y15" s="103"/>
      <c r="Z15" s="103"/>
      <c r="AI15" s="39"/>
      <c r="AJ15" s="380" t="s">
        <v>222</v>
      </c>
      <c r="AK15" s="39"/>
      <c r="AL15" s="39"/>
      <c r="AM15" s="90" t="s">
        <v>448</v>
      </c>
      <c r="AN15">
        <f>AJ16</f>
        <v>16.666666666666668</v>
      </c>
      <c r="AO15">
        <f>AJ16</f>
        <v>16.666666666666668</v>
      </c>
    </row>
    <row r="16" spans="1:41" ht="15.75">
      <c r="A16" s="103"/>
      <c r="B16" s="103"/>
      <c r="C16" s="103"/>
      <c r="D16" s="103"/>
      <c r="E16" s="103"/>
      <c r="F16" s="103"/>
      <c r="G16" s="103"/>
      <c r="H16" s="24"/>
      <c r="I16" s="24"/>
      <c r="J16" s="24"/>
      <c r="K16" s="24"/>
      <c r="L16" s="24"/>
      <c r="M16" s="24"/>
      <c r="N16" s="24"/>
      <c r="T16" s="103"/>
      <c r="U16" s="103"/>
      <c r="V16" s="103"/>
      <c r="W16" s="103"/>
      <c r="X16" s="103"/>
      <c r="Y16" s="103"/>
      <c r="Z16" s="103"/>
      <c r="AI16" s="380" t="s">
        <v>237</v>
      </c>
      <c r="AJ16">
        <f>(AJ14/AJ12)+AL14</f>
        <v>16.666666666666668</v>
      </c>
      <c r="AN16">
        <v>0</v>
      </c>
      <c r="AO16">
        <f>AJ12</f>
        <v>50</v>
      </c>
    </row>
    <row r="17" spans="1:41" ht="15.75">
      <c r="A17" s="103"/>
      <c r="B17" s="130" t="s">
        <v>237</v>
      </c>
      <c r="C17" s="300">
        <f>AK9</f>
        <v>833.33333333333337</v>
      </c>
      <c r="D17" s="130" t="s">
        <v>22</v>
      </c>
      <c r="E17" s="82">
        <f>E13</f>
        <v>0</v>
      </c>
      <c r="F17" s="103"/>
      <c r="G17" s="103"/>
      <c r="H17" s="24"/>
      <c r="I17" s="24"/>
      <c r="J17" s="24"/>
      <c r="K17" s="24"/>
      <c r="L17" s="24"/>
      <c r="M17" s="24"/>
      <c r="N17" s="24"/>
      <c r="T17" s="103"/>
      <c r="U17" s="130" t="s">
        <v>237</v>
      </c>
      <c r="V17" s="270">
        <f>AK36</f>
        <v>714.28571428571433</v>
      </c>
      <c r="W17" s="130" t="s">
        <v>22</v>
      </c>
      <c r="X17" s="82">
        <f>X13</f>
        <v>0</v>
      </c>
      <c r="Y17" s="103"/>
      <c r="Z17" s="103"/>
    </row>
    <row r="18" spans="1:41" ht="15.75">
      <c r="A18" s="103"/>
      <c r="B18" s="82"/>
      <c r="C18" s="130" t="s">
        <v>222</v>
      </c>
      <c r="D18" s="82"/>
      <c r="E18" s="82"/>
      <c r="F18" s="103"/>
      <c r="G18" s="103"/>
      <c r="T18" s="103"/>
      <c r="U18" s="82"/>
      <c r="V18" s="130" t="s">
        <v>222</v>
      </c>
      <c r="W18" s="82"/>
      <c r="X18" s="82"/>
      <c r="Y18" s="103"/>
      <c r="Z18" s="103"/>
      <c r="AI18" s="90" t="s">
        <v>439</v>
      </c>
    </row>
    <row r="19" spans="1:41">
      <c r="A19" s="102"/>
      <c r="B19" s="103"/>
      <c r="C19" s="103"/>
      <c r="D19" s="103"/>
      <c r="E19" s="103"/>
      <c r="F19" s="103"/>
      <c r="G19" s="103"/>
      <c r="T19" s="102"/>
      <c r="U19" s="103"/>
      <c r="V19" s="103"/>
      <c r="W19" s="103"/>
      <c r="X19" s="103"/>
      <c r="Y19" s="103"/>
      <c r="Z19" s="103"/>
    </row>
    <row r="20" spans="1:41" ht="15.75">
      <c r="A20" s="129" t="s">
        <v>430</v>
      </c>
      <c r="B20" s="103"/>
      <c r="C20" s="103"/>
      <c r="D20" s="103"/>
      <c r="E20" s="103"/>
      <c r="F20" s="103"/>
      <c r="G20" s="103"/>
      <c r="T20" s="129" t="s">
        <v>436</v>
      </c>
      <c r="U20" s="103"/>
      <c r="V20" s="103"/>
      <c r="W20" s="103"/>
      <c r="X20" s="103"/>
      <c r="Y20" s="103"/>
      <c r="Z20" s="103"/>
      <c r="AI20" s="380" t="s">
        <v>241</v>
      </c>
      <c r="AJ20">
        <f>$G$9/$A$9*0</f>
        <v>0</v>
      </c>
      <c r="AK20">
        <f>$G$9/$A$9*0.2</f>
        <v>20</v>
      </c>
      <c r="AL20">
        <f>$G$9/$A$9*0.4</f>
        <v>40</v>
      </c>
      <c r="AM20">
        <f>$G$9/$A$9*0.6</f>
        <v>60</v>
      </c>
      <c r="AN20">
        <f>$G$9/$A$9*0.8</f>
        <v>80</v>
      </c>
      <c r="AO20">
        <f>$G$9/$A$9</f>
        <v>100</v>
      </c>
    </row>
    <row r="21" spans="1:41" ht="15.75">
      <c r="A21" s="103"/>
      <c r="B21" s="130" t="s">
        <v>235</v>
      </c>
      <c r="C21" s="117">
        <f>-AK5/(2*AI5)</f>
        <v>50</v>
      </c>
      <c r="D21" s="130" t="s">
        <v>237</v>
      </c>
      <c r="E21" s="117">
        <f>(AJ14/AJ12)+AL14</f>
        <v>16.666666666666668</v>
      </c>
      <c r="F21" s="92" t="s">
        <v>338</v>
      </c>
      <c r="G21" s="103"/>
      <c r="T21" s="103"/>
      <c r="U21" s="130" t="s">
        <v>235</v>
      </c>
      <c r="V21" s="117">
        <f>-AK32/(2*AI32)</f>
        <v>50</v>
      </c>
      <c r="W21" s="130" t="s">
        <v>237</v>
      </c>
      <c r="X21" s="117">
        <f>(AJ41/AJ39)+AL41</f>
        <v>14.285714285714286</v>
      </c>
      <c r="Y21" s="103"/>
      <c r="Z21" s="103"/>
      <c r="AI21" s="380" t="s">
        <v>242</v>
      </c>
      <c r="AJ21">
        <f t="shared" ref="AJ21:AO21" si="0">(-$A$9*AJ20)/$D$9+($G$9/$D$9)</f>
        <v>33.333333333333336</v>
      </c>
      <c r="AK21">
        <f t="shared" si="0"/>
        <v>26.666666666666668</v>
      </c>
      <c r="AL21">
        <f t="shared" si="0"/>
        <v>20</v>
      </c>
      <c r="AM21">
        <f t="shared" si="0"/>
        <v>13.333333333333336</v>
      </c>
      <c r="AN21">
        <f t="shared" si="0"/>
        <v>6.6666666666666679</v>
      </c>
      <c r="AO21">
        <f t="shared" si="0"/>
        <v>0</v>
      </c>
    </row>
    <row r="22" spans="1:41">
      <c r="A22" s="130"/>
      <c r="B22" s="103"/>
      <c r="C22" s="103"/>
      <c r="D22" s="130"/>
      <c r="E22" s="103"/>
      <c r="F22" s="103"/>
      <c r="G22" s="103"/>
      <c r="T22" s="103"/>
      <c r="U22" s="103"/>
      <c r="V22" s="103"/>
      <c r="W22" s="103"/>
      <c r="X22" s="103"/>
      <c r="Y22" s="103"/>
      <c r="Z22" s="103"/>
    </row>
    <row r="23" spans="1:41">
      <c r="AI23" s="90" t="s">
        <v>440</v>
      </c>
    </row>
    <row r="25" spans="1:41" ht="15.75">
      <c r="Z25" s="24"/>
      <c r="AA25" s="103"/>
      <c r="AB25" s="24"/>
      <c r="AC25" s="24"/>
      <c r="AD25" s="24"/>
      <c r="AE25" s="24"/>
      <c r="AI25" s="380" t="s">
        <v>241</v>
      </c>
      <c r="AJ25">
        <f>$AJ$12*0.7</f>
        <v>35</v>
      </c>
      <c r="AK25">
        <f>$AJ$12*0.8</f>
        <v>40</v>
      </c>
      <c r="AL25">
        <f>$AJ$12*0.9</f>
        <v>45</v>
      </c>
      <c r="AM25" s="1">
        <f>$AJ$12</f>
        <v>50</v>
      </c>
      <c r="AN25">
        <f>$AJ$12*1.1</f>
        <v>55.000000000000007</v>
      </c>
      <c r="AO25">
        <f>$AJ$12*1.2</f>
        <v>60</v>
      </c>
    </row>
    <row r="26" spans="1:41" ht="15.75">
      <c r="Z26" s="24"/>
      <c r="AA26" s="103"/>
      <c r="AB26" s="326" t="s">
        <v>99</v>
      </c>
      <c r="AC26" s="326"/>
      <c r="AD26" s="326"/>
      <c r="AE26" s="325"/>
      <c r="AI26" s="380" t="s">
        <v>242</v>
      </c>
      <c r="AJ26">
        <f t="shared" ref="AJ26:AO26" si="1">($AK$9/AJ25)+$E$13</f>
        <v>23.80952380952381</v>
      </c>
      <c r="AK26">
        <f t="shared" si="1"/>
        <v>20.833333333333336</v>
      </c>
      <c r="AL26">
        <f t="shared" si="1"/>
        <v>18.518518518518519</v>
      </c>
      <c r="AM26" s="1">
        <f t="shared" si="1"/>
        <v>16.666666666666668</v>
      </c>
      <c r="AN26">
        <f t="shared" si="1"/>
        <v>15.15151515151515</v>
      </c>
      <c r="AO26">
        <f t="shared" si="1"/>
        <v>13.888888888888889</v>
      </c>
    </row>
    <row r="27" spans="1:41">
      <c r="Z27" s="24"/>
      <c r="AA27" s="103"/>
      <c r="AB27" s="326" t="s">
        <v>100</v>
      </c>
      <c r="AC27" s="326"/>
      <c r="AD27" s="326"/>
      <c r="AE27" s="325"/>
    </row>
    <row r="28" spans="1:41">
      <c r="Z28" s="24"/>
      <c r="AA28" s="103"/>
      <c r="AB28" s="326" t="s">
        <v>103</v>
      </c>
      <c r="AC28" s="326"/>
      <c r="AD28" s="326"/>
      <c r="AE28" s="325"/>
    </row>
    <row r="29" spans="1:41">
      <c r="Z29" s="24"/>
      <c r="AA29" s="103"/>
      <c r="AB29" s="326" t="s">
        <v>106</v>
      </c>
      <c r="AC29" s="326"/>
      <c r="AD29" s="326"/>
      <c r="AE29" s="325"/>
      <c r="AI29">
        <v>2</v>
      </c>
    </row>
    <row r="30" spans="1:41">
      <c r="A30" s="430" t="s">
        <v>518</v>
      </c>
      <c r="B30" s="103"/>
      <c r="Z30" s="149"/>
      <c r="AB30" s="327" t="s">
        <v>107</v>
      </c>
      <c r="AC30" s="326"/>
      <c r="AD30" s="326"/>
      <c r="AE30" s="325"/>
      <c r="AI30" s="90" t="s">
        <v>441</v>
      </c>
    </row>
    <row r="31" spans="1:41">
      <c r="A31" s="431" t="s">
        <v>510</v>
      </c>
      <c r="B31" s="432"/>
    </row>
    <row r="32" spans="1:41" ht="15">
      <c r="A32" s="431" t="s">
        <v>511</v>
      </c>
      <c r="B32" s="432"/>
      <c r="AI32" s="39">
        <f>T9</f>
        <v>2</v>
      </c>
      <c r="AJ32" s="380" t="s">
        <v>225</v>
      </c>
      <c r="AK32" s="39">
        <f>(-Z9+(W9*X13))</f>
        <v>-200</v>
      </c>
      <c r="AL32" s="380" t="s">
        <v>226</v>
      </c>
      <c r="AM32" s="39">
        <f>W9</f>
        <v>7</v>
      </c>
      <c r="AN32" s="41" t="s">
        <v>227</v>
      </c>
      <c r="AO32" s="380"/>
    </row>
    <row r="33" spans="1:41">
      <c r="A33" s="431" t="s">
        <v>512</v>
      </c>
      <c r="B33" s="432"/>
    </row>
    <row r="34" spans="1:41" ht="15">
      <c r="A34" s="431" t="s">
        <v>513</v>
      </c>
      <c r="B34" s="432"/>
      <c r="AI34" s="90" t="s">
        <v>228</v>
      </c>
      <c r="AJ34">
        <f>AK32^2</f>
        <v>40000</v>
      </c>
      <c r="AK34" s="90" t="s">
        <v>229</v>
      </c>
      <c r="AL34">
        <f>4*AI32*AM32</f>
        <v>56</v>
      </c>
      <c r="AM34" s="41" t="s">
        <v>230</v>
      </c>
    </row>
    <row r="35" spans="1:41">
      <c r="A35" s="431" t="s">
        <v>514</v>
      </c>
      <c r="B35" s="432"/>
    </row>
    <row r="36" spans="1:41" ht="15">
      <c r="A36" s="431" t="s">
        <v>515</v>
      </c>
      <c r="B36" s="431"/>
      <c r="AJ36" s="41" t="s">
        <v>233</v>
      </c>
      <c r="AK36">
        <f>-(-AK32^2)/-AL34</f>
        <v>714.28571428571433</v>
      </c>
    </row>
    <row r="37" spans="1:41">
      <c r="A37" s="431" t="s">
        <v>516</v>
      </c>
      <c r="B37" s="431"/>
      <c r="AI37" s="90" t="s">
        <v>442</v>
      </c>
    </row>
    <row r="38" spans="1:41">
      <c r="A38" s="431" t="s">
        <v>517</v>
      </c>
      <c r="B38" s="431"/>
      <c r="C38" s="24"/>
      <c r="D38" s="24"/>
      <c r="E38" s="24"/>
      <c r="F38" s="24"/>
      <c r="G38" s="24"/>
    </row>
    <row r="39" spans="1:41" ht="15.75">
      <c r="A39" s="24"/>
      <c r="B39" s="24"/>
      <c r="C39" s="24"/>
      <c r="D39" s="24"/>
      <c r="E39" s="24"/>
      <c r="F39" s="24"/>
      <c r="G39" s="24"/>
      <c r="AI39" s="380" t="s">
        <v>235</v>
      </c>
      <c r="AJ39">
        <f>-AK32/(2*AI32)</f>
        <v>50</v>
      </c>
      <c r="AM39" s="90" t="s">
        <v>447</v>
      </c>
      <c r="AN39">
        <f>AJ39</f>
        <v>50</v>
      </c>
      <c r="AO39">
        <f>AJ39</f>
        <v>50</v>
      </c>
    </row>
    <row r="40" spans="1:41">
      <c r="AN40">
        <v>0</v>
      </c>
      <c r="AO40">
        <f>AJ43</f>
        <v>14.285714285714286</v>
      </c>
    </row>
    <row r="41" spans="1:41" ht="15.75">
      <c r="AI41" s="380" t="s">
        <v>237</v>
      </c>
      <c r="AJ41" s="40">
        <f>AK36</f>
        <v>714.28571428571433</v>
      </c>
      <c r="AK41" s="380" t="s">
        <v>22</v>
      </c>
      <c r="AL41" s="39">
        <f>X13</f>
        <v>0</v>
      </c>
    </row>
    <row r="42" spans="1:41" ht="15.75">
      <c r="AI42" s="39"/>
      <c r="AJ42" s="380" t="s">
        <v>222</v>
      </c>
      <c r="AK42" s="39"/>
      <c r="AL42" s="39"/>
      <c r="AM42" s="90" t="s">
        <v>448</v>
      </c>
      <c r="AN42">
        <f>AJ43</f>
        <v>14.285714285714286</v>
      </c>
      <c r="AO42">
        <f>AJ43</f>
        <v>14.285714285714286</v>
      </c>
    </row>
    <row r="43" spans="1:41" ht="15.75">
      <c r="AI43" s="380" t="s">
        <v>237</v>
      </c>
      <c r="AJ43">
        <f>(AJ41/AJ39)+AL41</f>
        <v>14.285714285714286</v>
      </c>
      <c r="AN43">
        <v>0</v>
      </c>
      <c r="AO43">
        <f>AJ39</f>
        <v>50</v>
      </c>
    </row>
    <row r="45" spans="1:41">
      <c r="AI45" s="90" t="s">
        <v>443</v>
      </c>
    </row>
    <row r="47" spans="1:41" ht="15.75">
      <c r="AI47" s="380" t="s">
        <v>241</v>
      </c>
      <c r="AJ47">
        <f>$Z$9/$T$9*0</f>
        <v>0</v>
      </c>
      <c r="AK47">
        <f>$Z$9/$T$9*0.2</f>
        <v>20</v>
      </c>
      <c r="AL47">
        <f>$Z$9/$T$9*0.4</f>
        <v>40</v>
      </c>
      <c r="AM47">
        <f>$Z$9/$T$9*0.6</f>
        <v>60</v>
      </c>
      <c r="AN47">
        <f>$Z$9/$T$9*0.8</f>
        <v>80</v>
      </c>
      <c r="AO47">
        <f>$Z$9/$T$9</f>
        <v>100</v>
      </c>
    </row>
    <row r="48" spans="1:41" ht="15.75">
      <c r="AI48" s="380" t="s">
        <v>242</v>
      </c>
      <c r="AJ48">
        <f t="shared" ref="AJ48:AO48" si="2">(-$T$9*AJ47)/$W$9+($Z$9/$W$9)</f>
        <v>28.571428571428573</v>
      </c>
      <c r="AK48">
        <f t="shared" si="2"/>
        <v>22.857142857142858</v>
      </c>
      <c r="AL48">
        <f t="shared" si="2"/>
        <v>17.142857142857146</v>
      </c>
      <c r="AM48">
        <f t="shared" si="2"/>
        <v>11.428571428571431</v>
      </c>
      <c r="AN48">
        <f t="shared" si="2"/>
        <v>5.7142857142857153</v>
      </c>
      <c r="AO48">
        <f t="shared" si="2"/>
        <v>0</v>
      </c>
    </row>
    <row r="50" spans="29:45">
      <c r="AI50" s="90" t="s">
        <v>444</v>
      </c>
    </row>
    <row r="52" spans="29:45" ht="15.75">
      <c r="AI52" s="380" t="s">
        <v>241</v>
      </c>
      <c r="AJ52" s="90">
        <f>$AJ$39*0.7</f>
        <v>35</v>
      </c>
      <c r="AK52" s="90">
        <f>$AJ$39*0.8</f>
        <v>40</v>
      </c>
      <c r="AL52" s="90">
        <f>$AJ$39*0.9</f>
        <v>45</v>
      </c>
      <c r="AM52" s="1">
        <f>$AJ$39</f>
        <v>50</v>
      </c>
      <c r="AN52" s="90">
        <f>$AJ$39*1.1</f>
        <v>55.000000000000007</v>
      </c>
      <c r="AO52" s="90">
        <f>$AJ$39*1.2</f>
        <v>60</v>
      </c>
    </row>
    <row r="53" spans="29:45" ht="15.75">
      <c r="AI53" s="380" t="s">
        <v>242</v>
      </c>
      <c r="AJ53" s="90">
        <f t="shared" ref="AJ53:AO53" si="3">($AK$36/AJ52)+$X$13</f>
        <v>20.408163265306126</v>
      </c>
      <c r="AK53" s="90">
        <f t="shared" si="3"/>
        <v>17.857142857142858</v>
      </c>
      <c r="AL53" s="90">
        <f t="shared" si="3"/>
        <v>15.873015873015873</v>
      </c>
      <c r="AM53" s="1">
        <f t="shared" si="3"/>
        <v>14.285714285714286</v>
      </c>
      <c r="AN53" s="90">
        <f t="shared" si="3"/>
        <v>12.987012987012987</v>
      </c>
      <c r="AO53" s="90">
        <f t="shared" si="3"/>
        <v>11.904761904761905</v>
      </c>
    </row>
    <row r="55" spans="29:45">
      <c r="AI55" s="16"/>
      <c r="AJ55" s="16" t="s">
        <v>395</v>
      </c>
      <c r="AK55" s="16"/>
      <c r="AL55" s="16"/>
      <c r="AM55" s="16"/>
      <c r="AO55" s="16"/>
      <c r="AP55" s="16" t="s">
        <v>396</v>
      </c>
      <c r="AQ55" s="16"/>
      <c r="AR55" s="16"/>
      <c r="AS55" s="16"/>
    </row>
    <row r="56" spans="29:45">
      <c r="AI56" s="16"/>
      <c r="AJ56" s="16"/>
      <c r="AK56" s="16"/>
      <c r="AL56" s="16"/>
      <c r="AM56" s="16"/>
      <c r="AO56" s="16"/>
      <c r="AP56" s="16"/>
      <c r="AQ56" s="16"/>
      <c r="AR56" s="16"/>
      <c r="AS56" s="16"/>
    </row>
    <row r="57" spans="29:45" ht="15.75">
      <c r="AI57" s="396" t="s">
        <v>248</v>
      </c>
      <c r="AJ57" s="397" t="s">
        <v>249</v>
      </c>
      <c r="AK57" s="397" t="s">
        <v>250</v>
      </c>
      <c r="AL57" s="397" t="s">
        <v>251</v>
      </c>
      <c r="AM57" s="398" t="s">
        <v>252</v>
      </c>
      <c r="AO57" s="396" t="s">
        <v>248</v>
      </c>
      <c r="AP57" s="397" t="s">
        <v>249</v>
      </c>
      <c r="AQ57" s="397" t="s">
        <v>250</v>
      </c>
      <c r="AR57" s="397" t="s">
        <v>251</v>
      </c>
      <c r="AS57" s="398" t="s">
        <v>252</v>
      </c>
    </row>
    <row r="58" spans="29:45">
      <c r="AI58" s="42">
        <v>1</v>
      </c>
      <c r="AJ58" s="43">
        <v>1</v>
      </c>
      <c r="AK58" s="43">
        <v>8</v>
      </c>
      <c r="AL58" s="30">
        <f>AK58</f>
        <v>8</v>
      </c>
      <c r="AM58" s="44">
        <f t="shared" ref="AM58:AM64" si="4">AL58/AI58</f>
        <v>8</v>
      </c>
      <c r="AN58" s="39"/>
      <c r="AO58" s="42">
        <v>2</v>
      </c>
      <c r="AP58" s="43">
        <v>1</v>
      </c>
      <c r="AQ58" s="43">
        <v>10</v>
      </c>
      <c r="AR58" s="30">
        <f>AQ58</f>
        <v>10</v>
      </c>
      <c r="AS58" s="44">
        <f t="shared" ref="AS58:AS64" si="5">AR58/AO58</f>
        <v>5</v>
      </c>
    </row>
    <row r="59" spans="29:45" ht="15">
      <c r="AC59" s="39"/>
      <c r="AD59" s="380"/>
      <c r="AE59" s="39"/>
      <c r="AF59" s="380"/>
      <c r="AG59" s="39"/>
      <c r="AH59" s="41"/>
      <c r="AI59" s="42">
        <v>1</v>
      </c>
      <c r="AJ59" s="43">
        <v>2</v>
      </c>
      <c r="AK59" s="43">
        <v>15</v>
      </c>
      <c r="AL59" s="30">
        <f t="shared" ref="AL59:AL64" si="6">AK59-AK58</f>
        <v>7</v>
      </c>
      <c r="AM59" s="44">
        <f t="shared" si="4"/>
        <v>7</v>
      </c>
      <c r="AN59" s="39"/>
      <c r="AO59" s="42">
        <v>2</v>
      </c>
      <c r="AP59" s="43">
        <v>2</v>
      </c>
      <c r="AQ59" s="43">
        <v>18</v>
      </c>
      <c r="AR59" s="30">
        <f t="shared" ref="AR59:AR64" si="7">AQ59-AQ58</f>
        <v>8</v>
      </c>
      <c r="AS59" s="44">
        <f t="shared" si="5"/>
        <v>4</v>
      </c>
    </row>
    <row r="60" spans="29:45">
      <c r="AI60" s="42">
        <v>1</v>
      </c>
      <c r="AJ60" s="43">
        <v>3</v>
      </c>
      <c r="AK60" s="43">
        <v>21</v>
      </c>
      <c r="AL60" s="30">
        <f t="shared" si="6"/>
        <v>6</v>
      </c>
      <c r="AM60" s="44">
        <f t="shared" si="4"/>
        <v>6</v>
      </c>
      <c r="AN60" s="39"/>
      <c r="AO60" s="42">
        <v>2</v>
      </c>
      <c r="AP60" s="43">
        <v>3</v>
      </c>
      <c r="AQ60" s="43">
        <v>24</v>
      </c>
      <c r="AR60" s="30">
        <f t="shared" si="7"/>
        <v>6</v>
      </c>
      <c r="AS60" s="44">
        <f t="shared" si="5"/>
        <v>3</v>
      </c>
    </row>
    <row r="61" spans="29:45" ht="15">
      <c r="AC61" s="90"/>
      <c r="AE61" s="90"/>
      <c r="AG61" s="41"/>
      <c r="AI61" s="42">
        <v>1</v>
      </c>
      <c r="AJ61" s="43">
        <v>4</v>
      </c>
      <c r="AK61" s="43">
        <v>26</v>
      </c>
      <c r="AL61" s="30">
        <f t="shared" si="6"/>
        <v>5</v>
      </c>
      <c r="AM61" s="44">
        <f t="shared" si="4"/>
        <v>5</v>
      </c>
      <c r="AN61" s="39"/>
      <c r="AO61" s="42">
        <v>2</v>
      </c>
      <c r="AP61" s="43">
        <v>4</v>
      </c>
      <c r="AQ61" s="43">
        <v>28</v>
      </c>
      <c r="AR61" s="30">
        <f t="shared" si="7"/>
        <v>4</v>
      </c>
      <c r="AS61" s="44">
        <f t="shared" si="5"/>
        <v>2</v>
      </c>
    </row>
    <row r="62" spans="29:45">
      <c r="AI62" s="42">
        <v>1</v>
      </c>
      <c r="AJ62" s="43">
        <v>5</v>
      </c>
      <c r="AK62" s="43">
        <v>30</v>
      </c>
      <c r="AL62" s="30">
        <f t="shared" si="6"/>
        <v>4</v>
      </c>
      <c r="AM62" s="44">
        <f t="shared" si="4"/>
        <v>4</v>
      </c>
      <c r="AN62" s="39"/>
      <c r="AO62" s="42">
        <v>2</v>
      </c>
      <c r="AP62" s="43">
        <v>5</v>
      </c>
      <c r="AQ62" s="43">
        <v>31</v>
      </c>
      <c r="AR62" s="30">
        <f t="shared" si="7"/>
        <v>3</v>
      </c>
      <c r="AS62" s="44">
        <f t="shared" si="5"/>
        <v>1.5</v>
      </c>
    </row>
    <row r="63" spans="29:45" ht="15">
      <c r="AD63" s="41"/>
      <c r="AI63" s="42">
        <v>1</v>
      </c>
      <c r="AJ63" s="43">
        <v>6</v>
      </c>
      <c r="AK63" s="43">
        <v>33</v>
      </c>
      <c r="AL63" s="30">
        <f t="shared" si="6"/>
        <v>3</v>
      </c>
      <c r="AM63" s="44">
        <f t="shared" si="4"/>
        <v>3</v>
      </c>
      <c r="AN63" s="39"/>
      <c r="AO63" s="42">
        <v>2</v>
      </c>
      <c r="AP63" s="43">
        <v>6</v>
      </c>
      <c r="AQ63" s="43">
        <v>33</v>
      </c>
      <c r="AR63" s="30">
        <f t="shared" si="7"/>
        <v>2</v>
      </c>
      <c r="AS63" s="44">
        <f t="shared" si="5"/>
        <v>1</v>
      </c>
    </row>
    <row r="64" spans="29:45">
      <c r="AC64" s="90"/>
      <c r="AI64" s="45">
        <v>1</v>
      </c>
      <c r="AJ64" s="46">
        <v>7</v>
      </c>
      <c r="AK64" s="46">
        <v>35</v>
      </c>
      <c r="AL64" s="35">
        <f t="shared" si="6"/>
        <v>2</v>
      </c>
      <c r="AM64" s="47">
        <f t="shared" si="4"/>
        <v>2</v>
      </c>
      <c r="AN64" s="39"/>
      <c r="AO64" s="45">
        <v>2</v>
      </c>
      <c r="AP64" s="46">
        <v>7</v>
      </c>
      <c r="AQ64" s="46">
        <v>34</v>
      </c>
      <c r="AR64" s="35">
        <f t="shared" si="7"/>
        <v>1</v>
      </c>
      <c r="AS64" s="47">
        <f t="shared" si="5"/>
        <v>0.5</v>
      </c>
    </row>
    <row r="66" spans="29:43">
      <c r="AC66" s="380"/>
      <c r="AI66" t="s">
        <v>478</v>
      </c>
      <c r="AN66" t="s">
        <v>479</v>
      </c>
    </row>
    <row r="67" spans="29:43">
      <c r="AI67" t="s">
        <v>353</v>
      </c>
      <c r="AJ67" t="s">
        <v>16</v>
      </c>
      <c r="AK67" t="s">
        <v>445</v>
      </c>
      <c r="AN67" t="s">
        <v>353</v>
      </c>
      <c r="AO67" t="s">
        <v>16</v>
      </c>
      <c r="AP67" t="s">
        <v>446</v>
      </c>
    </row>
    <row r="68" spans="29:43">
      <c r="AC68" s="380"/>
      <c r="AD68" s="50"/>
      <c r="AE68" s="380"/>
      <c r="AF68" s="39"/>
      <c r="AK68" t="s">
        <v>374</v>
      </c>
      <c r="AL68" s="90" t="s">
        <v>377</v>
      </c>
      <c r="AP68" t="s">
        <v>374</v>
      </c>
      <c r="AQ68" s="90" t="s">
        <v>377</v>
      </c>
    </row>
    <row r="69" spans="29:43" ht="15.75">
      <c r="AC69" s="39"/>
      <c r="AD69" s="380"/>
      <c r="AE69" s="39"/>
      <c r="AF69" s="39"/>
      <c r="AI69" s="396" t="s">
        <v>248</v>
      </c>
      <c r="AJ69" s="397" t="s">
        <v>249</v>
      </c>
      <c r="AK69" s="397" t="s">
        <v>250</v>
      </c>
      <c r="AL69" s="398" t="s">
        <v>253</v>
      </c>
      <c r="AN69" s="396" t="s">
        <v>254</v>
      </c>
      <c r="AO69" s="397" t="s">
        <v>255</v>
      </c>
      <c r="AP69" s="397" t="s">
        <v>256</v>
      </c>
      <c r="AQ69" s="398" t="s">
        <v>257</v>
      </c>
    </row>
    <row r="70" spans="29:43">
      <c r="AC70" s="380"/>
      <c r="AI70" s="45">
        <v>1</v>
      </c>
      <c r="AJ70" s="48">
        <v>5</v>
      </c>
      <c r="AK70" s="46">
        <v>30</v>
      </c>
      <c r="AL70" s="49">
        <v>4</v>
      </c>
      <c r="AM70" s="39"/>
      <c r="AN70" s="45">
        <v>2</v>
      </c>
      <c r="AO70" s="48">
        <v>2</v>
      </c>
      <c r="AP70" s="46">
        <v>18</v>
      </c>
      <c r="AQ70" s="49">
        <v>8</v>
      </c>
    </row>
    <row r="72" spans="29:43" ht="15.75">
      <c r="AC72" s="90"/>
      <c r="AI72" s="399" t="s">
        <v>258</v>
      </c>
      <c r="AJ72" s="23">
        <f>AI70/AN70</f>
        <v>0.5</v>
      </c>
      <c r="AL72" s="399" t="s">
        <v>259</v>
      </c>
      <c r="AM72" s="23">
        <f>AL70/AI70</f>
        <v>4</v>
      </c>
    </row>
    <row r="73" spans="29:43" ht="15.75">
      <c r="AI73" s="399" t="s">
        <v>260</v>
      </c>
      <c r="AJ73" s="23">
        <f>AL70/AQ70</f>
        <v>0.5</v>
      </c>
      <c r="AL73" s="399" t="s">
        <v>261</v>
      </c>
      <c r="AM73" s="23">
        <f>AQ70/AN70</f>
        <v>4</v>
      </c>
    </row>
    <row r="74" spans="29:43">
      <c r="AC74" s="380"/>
    </row>
    <row r="75" spans="29:43">
      <c r="AC75" s="380"/>
      <c r="AJ75" s="399" t="s">
        <v>190</v>
      </c>
      <c r="AK75" s="23">
        <f>AJ70*AI70+AO70*AN70</f>
        <v>9</v>
      </c>
    </row>
    <row r="76" spans="29:43" ht="15.75">
      <c r="AJ76" s="335" t="s">
        <v>262</v>
      </c>
      <c r="AK76" s="399" t="s">
        <v>258</v>
      </c>
      <c r="AL76" s="16">
        <f>AI70/AN70</f>
        <v>0.5</v>
      </c>
    </row>
    <row r="77" spans="29:43">
      <c r="AC77" s="90"/>
    </row>
    <row r="79" spans="29:43">
      <c r="AC79" s="380"/>
      <c r="AG79" s="1"/>
    </row>
    <row r="80" spans="29:43">
      <c r="AC80" s="380"/>
      <c r="AG80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D105"/>
  <sheetViews>
    <sheetView topLeftCell="A49" zoomScale="70" zoomScaleNormal="70" workbookViewId="0">
      <selection activeCell="A61" sqref="A61:B69"/>
    </sheetView>
  </sheetViews>
  <sheetFormatPr defaultRowHeight="12.75"/>
  <cols>
    <col min="1" max="1" width="16.85546875" customWidth="1"/>
    <col min="2" max="2" width="13.7109375" customWidth="1"/>
    <col min="8" max="8" width="12.85546875" customWidth="1"/>
  </cols>
  <sheetData>
    <row r="1" spans="2:49" ht="15">
      <c r="B1" s="103"/>
      <c r="C1" s="103"/>
      <c r="D1" s="103"/>
      <c r="E1" s="129"/>
      <c r="F1" s="129" t="s">
        <v>449</v>
      </c>
      <c r="G1" s="151"/>
      <c r="H1" s="151"/>
      <c r="I1" s="151"/>
      <c r="J1" s="151"/>
      <c r="K1" s="151"/>
      <c r="L1" s="151"/>
      <c r="M1" s="152"/>
      <c r="N1" s="103"/>
      <c r="O1" s="102" t="s">
        <v>1</v>
      </c>
      <c r="P1" s="103"/>
      <c r="Q1" s="103"/>
      <c r="R1" s="103"/>
      <c r="S1" s="103"/>
      <c r="T1" s="103"/>
      <c r="U1" s="103"/>
      <c r="V1" s="103"/>
      <c r="W1" s="103"/>
      <c r="AM1" s="90" t="s">
        <v>224</v>
      </c>
    </row>
    <row r="2" spans="2:49" ht="15.75">
      <c r="B2" s="103"/>
      <c r="C2" s="103"/>
      <c r="D2" s="153" t="s">
        <v>463</v>
      </c>
      <c r="E2" s="103"/>
      <c r="F2" s="103"/>
      <c r="G2" s="151"/>
      <c r="H2" s="151"/>
      <c r="I2" s="151"/>
      <c r="J2" s="151"/>
      <c r="K2" s="152"/>
      <c r="L2" s="152"/>
      <c r="M2" s="152"/>
      <c r="N2" s="103"/>
      <c r="O2" s="102" t="s">
        <v>43</v>
      </c>
      <c r="P2" s="103"/>
      <c r="Q2" s="103"/>
      <c r="R2" s="103"/>
      <c r="S2" s="103"/>
      <c r="T2" s="103"/>
      <c r="U2" s="103"/>
      <c r="V2" s="103"/>
      <c r="W2" s="103"/>
    </row>
    <row r="3" spans="2:49" ht="15">
      <c r="B3" s="102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AM3" s="39">
        <f>B8</f>
        <v>10</v>
      </c>
      <c r="AN3" s="380" t="s">
        <v>225</v>
      </c>
      <c r="AO3" s="39">
        <f>(-H8+(E8*F12))</f>
        <v>-880</v>
      </c>
      <c r="AP3" s="380" t="s">
        <v>226</v>
      </c>
      <c r="AQ3" s="39">
        <f>E8</f>
        <v>6</v>
      </c>
      <c r="AR3" s="41" t="s">
        <v>227</v>
      </c>
      <c r="AS3" s="380"/>
    </row>
    <row r="4" spans="2:49">
      <c r="AW4" s="39"/>
    </row>
    <row r="5" spans="2:49" ht="15">
      <c r="B5" s="103"/>
      <c r="C5" s="103"/>
      <c r="D5" s="103"/>
      <c r="E5" s="103"/>
      <c r="F5" s="103"/>
      <c r="G5" s="103"/>
      <c r="H5" s="103"/>
      <c r="AH5" s="41"/>
      <c r="AI5" s="380"/>
      <c r="AM5" s="90" t="s">
        <v>228</v>
      </c>
      <c r="AN5">
        <f>AO3^2</f>
        <v>774400</v>
      </c>
      <c r="AO5" s="90" t="s">
        <v>229</v>
      </c>
      <c r="AP5">
        <f>4*AM3*AQ3</f>
        <v>240</v>
      </c>
      <c r="AQ5" s="41" t="s">
        <v>230</v>
      </c>
    </row>
    <row r="6" spans="2:49" ht="15">
      <c r="B6" s="100" t="s">
        <v>451</v>
      </c>
      <c r="C6" s="95"/>
      <c r="D6" s="95"/>
      <c r="E6" s="103"/>
      <c r="F6" s="103"/>
      <c r="G6" s="103"/>
      <c r="H6" s="103"/>
      <c r="AW6" s="41"/>
    </row>
    <row r="7" spans="2:49" ht="16.5">
      <c r="B7" s="130" t="s">
        <v>197</v>
      </c>
      <c r="C7" s="103"/>
      <c r="D7" s="103"/>
      <c r="E7" s="130" t="s">
        <v>198</v>
      </c>
      <c r="F7" s="103"/>
      <c r="G7" s="103"/>
      <c r="H7" s="130" t="s">
        <v>199</v>
      </c>
      <c r="AN7" s="41" t="s">
        <v>233</v>
      </c>
      <c r="AO7">
        <f>-(-AO3^2)/-AP5</f>
        <v>3226.6666666666665</v>
      </c>
    </row>
    <row r="8" spans="2:49" ht="15.75">
      <c r="B8" s="150">
        <v>10</v>
      </c>
      <c r="C8" s="130" t="s">
        <v>231</v>
      </c>
      <c r="D8" s="130" t="s">
        <v>22</v>
      </c>
      <c r="E8" s="82">
        <v>6</v>
      </c>
      <c r="F8" s="130" t="s">
        <v>232</v>
      </c>
      <c r="G8" s="130" t="s">
        <v>159</v>
      </c>
      <c r="H8" s="150">
        <v>1000</v>
      </c>
      <c r="AM8" s="90" t="s">
        <v>234</v>
      </c>
    </row>
    <row r="9" spans="2:49">
      <c r="B9" s="103"/>
      <c r="C9" s="103"/>
      <c r="D9" s="103"/>
      <c r="E9" s="103"/>
      <c r="F9" s="103"/>
      <c r="G9" s="103"/>
      <c r="H9" s="103"/>
    </row>
    <row r="10" spans="2:49" ht="15.75">
      <c r="B10" s="100" t="s">
        <v>452</v>
      </c>
      <c r="C10" s="99"/>
      <c r="D10" s="99"/>
      <c r="E10" s="99"/>
      <c r="F10" s="103"/>
      <c r="G10" s="103"/>
      <c r="H10" s="103"/>
      <c r="AM10" s="380" t="s">
        <v>235</v>
      </c>
      <c r="AN10">
        <f>-AO3/(2*AM3)</f>
        <v>44</v>
      </c>
      <c r="AQ10" s="90" t="s">
        <v>236</v>
      </c>
      <c r="AR10">
        <f>AN10</f>
        <v>44</v>
      </c>
      <c r="AS10">
        <f>AN10</f>
        <v>44</v>
      </c>
    </row>
    <row r="11" spans="2:49">
      <c r="B11" s="103"/>
      <c r="C11" s="103"/>
      <c r="D11" s="103"/>
      <c r="E11" s="103"/>
      <c r="F11" s="103"/>
      <c r="G11" s="103"/>
      <c r="H11" s="103"/>
      <c r="AR11">
        <v>0</v>
      </c>
      <c r="AS11">
        <f>AN14</f>
        <v>93.333333333333329</v>
      </c>
    </row>
    <row r="12" spans="2:49" ht="16.5">
      <c r="B12" s="82"/>
      <c r="C12" s="130" t="s">
        <v>237</v>
      </c>
      <c r="D12" s="269" t="s">
        <v>238</v>
      </c>
      <c r="E12" s="130" t="s">
        <v>22</v>
      </c>
      <c r="F12" s="150">
        <v>20</v>
      </c>
      <c r="G12" s="103"/>
      <c r="H12" s="92" t="s">
        <v>455</v>
      </c>
      <c r="AM12" s="380" t="s">
        <v>237</v>
      </c>
      <c r="AN12" s="40">
        <f>AO7</f>
        <v>3226.6666666666665</v>
      </c>
      <c r="AO12" s="380" t="s">
        <v>22</v>
      </c>
      <c r="AP12" s="39">
        <f>F12</f>
        <v>20</v>
      </c>
    </row>
    <row r="13" spans="2:49" ht="15.75">
      <c r="B13" s="82"/>
      <c r="C13" s="82"/>
      <c r="D13" s="130" t="s">
        <v>222</v>
      </c>
      <c r="E13" s="82"/>
      <c r="F13" s="82"/>
      <c r="G13" s="103"/>
      <c r="H13" s="103"/>
      <c r="AM13" s="39"/>
      <c r="AN13" s="380" t="s">
        <v>222</v>
      </c>
      <c r="AO13" s="39"/>
      <c r="AP13" s="39"/>
      <c r="AQ13" s="90" t="s">
        <v>239</v>
      </c>
      <c r="AR13">
        <f>AN14</f>
        <v>93.333333333333329</v>
      </c>
      <c r="AS13">
        <f>AN14</f>
        <v>93.333333333333329</v>
      </c>
    </row>
    <row r="14" spans="2:49" ht="15.75">
      <c r="B14" s="102" t="s">
        <v>453</v>
      </c>
      <c r="C14" s="103"/>
      <c r="D14" s="103"/>
      <c r="E14" s="103"/>
      <c r="F14" s="103"/>
      <c r="G14" s="103"/>
      <c r="H14" s="103"/>
      <c r="AM14" s="380" t="s">
        <v>237</v>
      </c>
      <c r="AN14">
        <f>(AN12/AN10)+AP12</f>
        <v>93.333333333333329</v>
      </c>
      <c r="AR14">
        <v>0</v>
      </c>
      <c r="AS14">
        <f>AN10</f>
        <v>44</v>
      </c>
    </row>
    <row r="15" spans="2:49">
      <c r="B15" s="103"/>
      <c r="C15" s="103"/>
      <c r="D15" s="103"/>
      <c r="E15" s="103"/>
      <c r="F15" s="103"/>
      <c r="G15" s="103"/>
      <c r="H15" s="103"/>
    </row>
    <row r="16" spans="2:49" ht="15.75">
      <c r="B16" s="103"/>
      <c r="C16" s="130" t="s">
        <v>237</v>
      </c>
      <c r="D16" s="270">
        <f>AO7</f>
        <v>3226.6666666666665</v>
      </c>
      <c r="E16" s="130" t="s">
        <v>22</v>
      </c>
      <c r="F16" s="82">
        <f>F12</f>
        <v>20</v>
      </c>
      <c r="G16" s="103"/>
      <c r="H16" s="103"/>
      <c r="AM16" s="90" t="s">
        <v>240</v>
      </c>
    </row>
    <row r="17" spans="1:49" ht="15.75">
      <c r="B17" s="103"/>
      <c r="C17" s="82"/>
      <c r="D17" s="130" t="s">
        <v>222</v>
      </c>
      <c r="E17" s="82"/>
      <c r="F17" s="82"/>
      <c r="G17" s="103"/>
      <c r="H17" s="103"/>
      <c r="I17" s="24"/>
      <c r="J17" s="24"/>
      <c r="K17" s="24"/>
      <c r="L17" s="24"/>
      <c r="M17" s="24"/>
      <c r="N17" s="24"/>
      <c r="O17" s="24"/>
    </row>
    <row r="18" spans="1:49" ht="15.75">
      <c r="B18" s="102"/>
      <c r="C18" s="103"/>
      <c r="D18" s="103"/>
      <c r="E18" s="103"/>
      <c r="F18" s="103"/>
      <c r="G18" s="103"/>
      <c r="H18" s="103"/>
      <c r="I18" s="24"/>
      <c r="J18" s="24"/>
      <c r="K18" s="24"/>
      <c r="L18" s="24"/>
      <c r="M18" s="24"/>
      <c r="N18" s="24"/>
      <c r="O18" s="24"/>
      <c r="AM18" s="380" t="s">
        <v>241</v>
      </c>
      <c r="AN18">
        <f>$H$8/$B$8*0</f>
        <v>0</v>
      </c>
      <c r="AO18">
        <f>$H$8/$B$8*0.2</f>
        <v>20</v>
      </c>
      <c r="AP18">
        <f>$H$8/$B$8*0.4</f>
        <v>40</v>
      </c>
      <c r="AQ18">
        <f>$H$8/$B$8*0.6</f>
        <v>60</v>
      </c>
      <c r="AR18">
        <f>$H$8/$B$8*0.8</f>
        <v>80</v>
      </c>
      <c r="AS18">
        <f>$H$8/$B$8</f>
        <v>100</v>
      </c>
    </row>
    <row r="19" spans="1:49" ht="15.75">
      <c r="B19" s="129" t="s">
        <v>461</v>
      </c>
      <c r="C19" s="103"/>
      <c r="D19" s="103"/>
      <c r="E19" s="103"/>
      <c r="F19" s="103"/>
      <c r="G19" s="103"/>
      <c r="H19" s="103"/>
      <c r="AM19" s="380" t="s">
        <v>242</v>
      </c>
      <c r="AN19">
        <f t="shared" ref="AN19:AS19" si="0">(-$B$8*AN18)/$E$8+($H$8/$E$8)</f>
        <v>166.66666666666666</v>
      </c>
      <c r="AO19">
        <f t="shared" si="0"/>
        <v>133.33333333333331</v>
      </c>
      <c r="AP19">
        <f t="shared" si="0"/>
        <v>99.999999999999986</v>
      </c>
      <c r="AQ19">
        <f t="shared" si="0"/>
        <v>66.666666666666657</v>
      </c>
      <c r="AR19">
        <f t="shared" si="0"/>
        <v>33.333333333333314</v>
      </c>
      <c r="AS19">
        <f t="shared" si="0"/>
        <v>0</v>
      </c>
    </row>
    <row r="20" spans="1:49" ht="20.100000000000001" customHeight="1">
      <c r="A20" s="24"/>
      <c r="B20" s="103"/>
      <c r="C20" s="400" t="s">
        <v>235</v>
      </c>
      <c r="D20" s="418">
        <f>-AO3/(2*AM3)</f>
        <v>44</v>
      </c>
      <c r="E20" s="400" t="s">
        <v>237</v>
      </c>
      <c r="F20" s="271">
        <f>(AN12/AN10)+AP12</f>
        <v>93.333333333333329</v>
      </c>
      <c r="G20" s="103"/>
      <c r="H20" s="103"/>
    </row>
    <row r="21" spans="1:49">
      <c r="B21" s="130"/>
      <c r="C21" s="103"/>
      <c r="D21" s="103"/>
      <c r="E21" s="130"/>
      <c r="F21" s="103"/>
      <c r="G21" s="103"/>
      <c r="H21" s="103"/>
      <c r="AM21" s="90" t="s">
        <v>243</v>
      </c>
    </row>
    <row r="22" spans="1:49">
      <c r="A22" s="103"/>
      <c r="B22" s="103"/>
      <c r="C22" s="103"/>
      <c r="D22" s="103"/>
      <c r="E22" s="103"/>
      <c r="F22" s="103"/>
      <c r="G22" s="103"/>
    </row>
    <row r="23" spans="1:49" ht="15.75">
      <c r="A23" s="401" t="s">
        <v>433</v>
      </c>
      <c r="B23" s="55"/>
      <c r="C23" s="55"/>
      <c r="D23" s="103"/>
      <c r="E23" s="103"/>
      <c r="F23" s="103"/>
      <c r="G23" s="103"/>
      <c r="AM23" s="380" t="s">
        <v>241</v>
      </c>
      <c r="AN23">
        <f>$AN$10*0.7</f>
        <v>30.799999999999997</v>
      </c>
      <c r="AO23">
        <f>$AN$10*0.8</f>
        <v>35.200000000000003</v>
      </c>
      <c r="AP23">
        <f>$AN$10*0.9</f>
        <v>39.6</v>
      </c>
      <c r="AQ23" s="1">
        <f>$AN$10</f>
        <v>44</v>
      </c>
      <c r="AR23">
        <f>$AN$10*1.1</f>
        <v>48.400000000000006</v>
      </c>
      <c r="AS23">
        <f>$AN$10*1.3</f>
        <v>57.2</v>
      </c>
    </row>
    <row r="24" spans="1:49" ht="15.75">
      <c r="A24" s="130" t="s">
        <v>197</v>
      </c>
      <c r="B24" s="103"/>
      <c r="C24" s="103"/>
      <c r="D24" s="130" t="s">
        <v>198</v>
      </c>
      <c r="E24" s="103"/>
      <c r="F24" s="103"/>
      <c r="G24" s="130" t="s">
        <v>199</v>
      </c>
      <c r="AM24" s="380" t="s">
        <v>242</v>
      </c>
      <c r="AN24">
        <f t="shared" ref="AN24:AS24" si="1">($AO$7/AN23)+$F$12</f>
        <v>124.76190476190477</v>
      </c>
      <c r="AO24">
        <f t="shared" si="1"/>
        <v>111.66666666666666</v>
      </c>
      <c r="AP24">
        <f t="shared" si="1"/>
        <v>101.48148148148148</v>
      </c>
      <c r="AQ24" s="1">
        <f t="shared" si="1"/>
        <v>93.333333333333329</v>
      </c>
      <c r="AR24">
        <f t="shared" si="1"/>
        <v>86.666666666666657</v>
      </c>
      <c r="AS24">
        <f t="shared" si="1"/>
        <v>76.410256410256409</v>
      </c>
      <c r="AW24" s="1"/>
    </row>
    <row r="25" spans="1:49" ht="15.75">
      <c r="A25" s="150">
        <v>8</v>
      </c>
      <c r="B25" s="130" t="s">
        <v>231</v>
      </c>
      <c r="C25" s="130" t="s">
        <v>22</v>
      </c>
      <c r="D25" s="150">
        <v>6</v>
      </c>
      <c r="E25" s="130" t="s">
        <v>232</v>
      </c>
      <c r="F25" s="130" t="s">
        <v>159</v>
      </c>
      <c r="G25" s="150">
        <v>1000</v>
      </c>
      <c r="AW25" s="1"/>
    </row>
    <row r="26" spans="1:49">
      <c r="A26" s="103"/>
      <c r="B26" s="103"/>
      <c r="C26" s="103"/>
      <c r="D26" s="103"/>
      <c r="E26" s="103"/>
      <c r="F26" s="103"/>
      <c r="G26" s="103"/>
    </row>
    <row r="27" spans="1:49" ht="32.25" customHeight="1">
      <c r="A27" s="421" t="s">
        <v>454</v>
      </c>
      <c r="B27" s="55"/>
      <c r="C27" s="55"/>
      <c r="D27" s="55"/>
      <c r="E27" s="103"/>
      <c r="F27" s="103"/>
      <c r="G27" s="103"/>
      <c r="AM27" s="1">
        <v>2</v>
      </c>
    </row>
    <row r="28" spans="1:49">
      <c r="A28" s="103"/>
      <c r="B28" s="103"/>
      <c r="C28" s="103"/>
      <c r="D28" s="103"/>
      <c r="E28" s="103"/>
      <c r="F28" s="103"/>
      <c r="G28" s="103"/>
      <c r="AM28" s="90" t="s">
        <v>244</v>
      </c>
    </row>
    <row r="29" spans="1:49" ht="16.5">
      <c r="A29" s="82"/>
      <c r="B29" s="130" t="s">
        <v>237</v>
      </c>
      <c r="C29" s="269" t="s">
        <v>238</v>
      </c>
      <c r="D29" s="130" t="s">
        <v>22</v>
      </c>
      <c r="E29" s="150">
        <v>80</v>
      </c>
      <c r="F29" s="103"/>
      <c r="G29" s="103"/>
    </row>
    <row r="30" spans="1:49" ht="16.5">
      <c r="A30" s="82"/>
      <c r="B30" s="82"/>
      <c r="C30" s="130" t="s">
        <v>222</v>
      </c>
      <c r="D30" s="82"/>
      <c r="E30" s="82"/>
      <c r="F30" s="103"/>
      <c r="G30" s="103"/>
      <c r="AM30" s="39">
        <f>A25</f>
        <v>8</v>
      </c>
      <c r="AN30" s="380" t="s">
        <v>225</v>
      </c>
      <c r="AO30" s="39">
        <f>(-G25+(D25*E29))</f>
        <v>-520</v>
      </c>
      <c r="AP30" s="380" t="s">
        <v>226</v>
      </c>
      <c r="AQ30" s="39">
        <f>D25</f>
        <v>6</v>
      </c>
      <c r="AR30" s="41" t="s">
        <v>227</v>
      </c>
      <c r="AS30" s="380"/>
    </row>
    <row r="31" spans="1:49">
      <c r="A31" s="102" t="s">
        <v>456</v>
      </c>
      <c r="B31" s="103"/>
      <c r="C31" s="103"/>
      <c r="D31" s="103"/>
      <c r="E31" s="103"/>
      <c r="F31" s="103"/>
      <c r="G31" s="103"/>
    </row>
    <row r="32" spans="1:49" ht="15">
      <c r="A32" s="103"/>
      <c r="B32" s="103"/>
      <c r="C32" s="103"/>
      <c r="D32" s="103"/>
      <c r="E32" s="103"/>
      <c r="F32" s="103"/>
      <c r="G32" s="103"/>
      <c r="AM32" s="90" t="s">
        <v>228</v>
      </c>
      <c r="AN32">
        <f>AO30^2</f>
        <v>270400</v>
      </c>
      <c r="AO32" s="90" t="s">
        <v>229</v>
      </c>
      <c r="AP32">
        <f>4*AM30*AQ30</f>
        <v>192</v>
      </c>
      <c r="AQ32" s="41" t="s">
        <v>230</v>
      </c>
      <c r="AW32" s="39"/>
    </row>
    <row r="33" spans="1:45" ht="16.5">
      <c r="A33" s="103"/>
      <c r="B33" s="130" t="s">
        <v>237</v>
      </c>
      <c r="C33" s="270">
        <f>AO34</f>
        <v>1408.3333333333333</v>
      </c>
      <c r="D33" s="130" t="s">
        <v>22</v>
      </c>
      <c r="E33" s="82">
        <f>E29</f>
        <v>80</v>
      </c>
      <c r="F33" s="103"/>
      <c r="G33" s="103"/>
      <c r="AH33" s="41"/>
      <c r="AI33" s="380"/>
    </row>
    <row r="34" spans="1:45" ht="16.5">
      <c r="A34" s="103"/>
      <c r="B34" s="82"/>
      <c r="C34" s="130" t="s">
        <v>222</v>
      </c>
      <c r="D34" s="82"/>
      <c r="E34" s="82"/>
      <c r="F34" s="103"/>
      <c r="G34" s="103"/>
      <c r="AN34" s="41" t="s">
        <v>233</v>
      </c>
      <c r="AO34">
        <f>-(-AO30^2)/-AP32</f>
        <v>1408.3333333333333</v>
      </c>
    </row>
    <row r="35" spans="1:45">
      <c r="A35" s="102"/>
      <c r="B35" s="103"/>
      <c r="C35" s="103"/>
      <c r="D35" s="103"/>
      <c r="E35" s="103"/>
      <c r="F35" s="103"/>
      <c r="G35" s="103"/>
      <c r="AM35" s="90" t="s">
        <v>245</v>
      </c>
    </row>
    <row r="36" spans="1:45">
      <c r="A36" s="129" t="s">
        <v>460</v>
      </c>
      <c r="B36" s="103"/>
      <c r="C36" s="103"/>
      <c r="D36" s="103"/>
      <c r="E36" s="103"/>
      <c r="F36" s="103"/>
      <c r="G36" s="103"/>
    </row>
    <row r="37" spans="1:45" ht="15.75">
      <c r="A37" s="103"/>
      <c r="B37" s="130" t="s">
        <v>235</v>
      </c>
      <c r="C37" s="129">
        <f>-AO30/(2*AM30)</f>
        <v>32.5</v>
      </c>
      <c r="D37" s="130" t="s">
        <v>237</v>
      </c>
      <c r="E37" s="172">
        <f>(AN39/AN37)+AP39</f>
        <v>123.33333333333333</v>
      </c>
      <c r="F37" s="103"/>
      <c r="G37" s="103"/>
      <c r="AM37" s="380" t="s">
        <v>235</v>
      </c>
      <c r="AN37">
        <f>-AO30/(2*AM30)</f>
        <v>32.5</v>
      </c>
      <c r="AQ37" s="90" t="s">
        <v>236</v>
      </c>
      <c r="AR37">
        <f>AN37</f>
        <v>32.5</v>
      </c>
      <c r="AS37">
        <f>AN37</f>
        <v>32.5</v>
      </c>
    </row>
    <row r="38" spans="1:45">
      <c r="A38" s="103"/>
      <c r="B38" s="103"/>
      <c r="C38" s="103"/>
      <c r="D38" s="103"/>
      <c r="E38" s="103"/>
      <c r="F38" s="103"/>
      <c r="G38" s="103"/>
      <c r="AR38">
        <v>0</v>
      </c>
      <c r="AS38">
        <f>AN41</f>
        <v>123.33333333333333</v>
      </c>
    </row>
    <row r="39" spans="1:45" ht="15.75">
      <c r="B39" s="103"/>
      <c r="C39" s="103"/>
      <c r="D39" s="103"/>
      <c r="E39" s="103"/>
      <c r="F39" s="103"/>
      <c r="G39" s="103"/>
      <c r="H39" s="103"/>
      <c r="AM39" s="380" t="s">
        <v>237</v>
      </c>
      <c r="AN39" s="40">
        <f>AO34</f>
        <v>1408.3333333333333</v>
      </c>
      <c r="AO39" s="380" t="s">
        <v>22</v>
      </c>
      <c r="AP39" s="39">
        <f>E29</f>
        <v>80</v>
      </c>
    </row>
    <row r="40" spans="1:45" ht="15.75">
      <c r="B40" s="57" t="s">
        <v>457</v>
      </c>
      <c r="C40" s="57"/>
      <c r="D40" s="57"/>
      <c r="E40" s="103"/>
      <c r="F40" s="103"/>
      <c r="G40" s="103"/>
      <c r="H40" s="103"/>
      <c r="AM40" s="39"/>
      <c r="AN40" s="380" t="s">
        <v>222</v>
      </c>
      <c r="AO40" s="39"/>
      <c r="AP40" s="39"/>
      <c r="AQ40" s="90" t="s">
        <v>239</v>
      </c>
      <c r="AR40">
        <f>AN41</f>
        <v>123.33333333333333</v>
      </c>
      <c r="AS40">
        <f>AN41</f>
        <v>123.33333333333333</v>
      </c>
    </row>
    <row r="41" spans="1:45" ht="15.75">
      <c r="B41" s="130" t="s">
        <v>197</v>
      </c>
      <c r="C41" s="103"/>
      <c r="D41" s="103"/>
      <c r="E41" s="130" t="s">
        <v>198</v>
      </c>
      <c r="F41" s="103"/>
      <c r="G41" s="103"/>
      <c r="H41" s="130" t="s">
        <v>199</v>
      </c>
      <c r="AM41" s="380" t="s">
        <v>237</v>
      </c>
      <c r="AN41">
        <f>(AN39/AN37)+AP39</f>
        <v>123.33333333333333</v>
      </c>
      <c r="AR41">
        <v>0</v>
      </c>
      <c r="AS41">
        <f>AN37</f>
        <v>32.5</v>
      </c>
    </row>
    <row r="42" spans="1:45" ht="15.75">
      <c r="B42" s="150">
        <v>10</v>
      </c>
      <c r="C42" s="130" t="s">
        <v>231</v>
      </c>
      <c r="D42" s="130" t="s">
        <v>22</v>
      </c>
      <c r="E42" s="150">
        <v>6</v>
      </c>
      <c r="F42" s="130" t="s">
        <v>232</v>
      </c>
      <c r="G42" s="130" t="s">
        <v>159</v>
      </c>
      <c r="H42" s="150">
        <v>1500</v>
      </c>
    </row>
    <row r="43" spans="1:45">
      <c r="B43" s="103"/>
      <c r="C43" s="103"/>
      <c r="D43" s="103"/>
      <c r="E43" s="103"/>
      <c r="F43" s="103"/>
      <c r="G43" s="103"/>
      <c r="H43" s="103"/>
      <c r="AM43" s="90" t="s">
        <v>246</v>
      </c>
    </row>
    <row r="44" spans="1:45" ht="43.5" customHeight="1">
      <c r="B44" s="422" t="s">
        <v>458</v>
      </c>
      <c r="C44" s="57"/>
      <c r="D44" s="57"/>
      <c r="E44" s="57"/>
      <c r="F44" s="103"/>
      <c r="G44" s="103"/>
      <c r="H44" s="103"/>
    </row>
    <row r="45" spans="1:45" ht="15.75">
      <c r="B45" s="103"/>
      <c r="C45" s="103"/>
      <c r="D45" s="103"/>
      <c r="E45" s="103"/>
      <c r="F45" s="103"/>
      <c r="G45" s="103"/>
      <c r="H45" s="103"/>
      <c r="AM45" s="380" t="s">
        <v>241</v>
      </c>
      <c r="AN45">
        <f>$G$25/$A$25*0</f>
        <v>0</v>
      </c>
      <c r="AO45">
        <f>$G$25/$A$25*0.2</f>
        <v>25</v>
      </c>
      <c r="AP45">
        <f>$G$25/$A$25*0.4</f>
        <v>50</v>
      </c>
      <c r="AQ45">
        <f>$G$25/$A$25*0.6</f>
        <v>75</v>
      </c>
      <c r="AR45">
        <f>$G$25/$A$25*0.8</f>
        <v>100</v>
      </c>
      <c r="AS45">
        <f>$G$25/$A$25</f>
        <v>125</v>
      </c>
    </row>
    <row r="46" spans="1:45" ht="16.5">
      <c r="B46" s="82"/>
      <c r="C46" s="130" t="s">
        <v>237</v>
      </c>
      <c r="D46" s="269" t="s">
        <v>238</v>
      </c>
      <c r="E46" s="130" t="s">
        <v>22</v>
      </c>
      <c r="F46" s="150">
        <v>20</v>
      </c>
      <c r="G46" s="103"/>
      <c r="H46" s="103"/>
      <c r="AM46" s="380" t="s">
        <v>242</v>
      </c>
      <c r="AN46">
        <f t="shared" ref="AN46:AS46" si="2">(-$A$25*AN45)/$D$25+($G$25/$D$25)</f>
        <v>166.66666666666666</v>
      </c>
      <c r="AO46">
        <f t="shared" si="2"/>
        <v>133.33333333333331</v>
      </c>
      <c r="AP46">
        <f t="shared" si="2"/>
        <v>99.999999999999986</v>
      </c>
      <c r="AQ46">
        <f t="shared" si="2"/>
        <v>66.666666666666657</v>
      </c>
      <c r="AR46">
        <f t="shared" si="2"/>
        <v>33.333333333333314</v>
      </c>
      <c r="AS46">
        <f t="shared" si="2"/>
        <v>0</v>
      </c>
    </row>
    <row r="47" spans="1:45" ht="15.75">
      <c r="B47" s="82"/>
      <c r="C47" s="82"/>
      <c r="D47" s="130" t="s">
        <v>222</v>
      </c>
      <c r="E47" s="82"/>
      <c r="F47" s="82"/>
      <c r="G47" s="103"/>
      <c r="H47" s="103"/>
    </row>
    <row r="48" spans="1:45">
      <c r="B48" s="102" t="s">
        <v>456</v>
      </c>
      <c r="C48" s="103"/>
      <c r="D48" s="103"/>
      <c r="E48" s="103"/>
      <c r="F48" s="103"/>
      <c r="G48" s="103"/>
      <c r="H48" s="103"/>
      <c r="AM48" s="90" t="s">
        <v>247</v>
      </c>
    </row>
    <row r="49" spans="1:49">
      <c r="B49" s="103"/>
      <c r="C49" s="103"/>
      <c r="D49" s="103"/>
      <c r="E49" s="103"/>
      <c r="F49" s="103"/>
      <c r="G49" s="103"/>
      <c r="H49" s="103"/>
    </row>
    <row r="50" spans="1:49" ht="15.75">
      <c r="B50" s="103"/>
      <c r="C50" s="130" t="s">
        <v>237</v>
      </c>
      <c r="D50" s="270">
        <f>AO61</f>
        <v>7935</v>
      </c>
      <c r="E50" s="130" t="s">
        <v>22</v>
      </c>
      <c r="F50" s="82">
        <f>F46</f>
        <v>20</v>
      </c>
      <c r="G50" s="103"/>
      <c r="H50" s="103"/>
      <c r="AM50" s="380" t="s">
        <v>241</v>
      </c>
      <c r="AN50" s="90">
        <f>$AN$37*0.7</f>
        <v>22.75</v>
      </c>
      <c r="AO50" s="90">
        <f>$AN$37*0.8</f>
        <v>26</v>
      </c>
      <c r="AP50" s="90">
        <f>$AN$37*0.9</f>
        <v>29.25</v>
      </c>
      <c r="AQ50" s="1">
        <f>$AN$37</f>
        <v>32.5</v>
      </c>
      <c r="AR50" s="90">
        <f>$AN$37*1.1</f>
        <v>35.75</v>
      </c>
      <c r="AS50" s="90">
        <f>$AN$37*1.3</f>
        <v>42.25</v>
      </c>
    </row>
    <row r="51" spans="1:49" ht="15.75">
      <c r="B51" s="103"/>
      <c r="C51" s="82"/>
      <c r="D51" s="130" t="s">
        <v>222</v>
      </c>
      <c r="E51" s="82"/>
      <c r="F51" s="82"/>
      <c r="G51" s="103"/>
      <c r="H51" s="103"/>
      <c r="AM51" s="380" t="s">
        <v>242</v>
      </c>
      <c r="AN51" s="90">
        <f t="shared" ref="AN51:AS51" si="3">($AO$34/AN50)+$E$29</f>
        <v>141.9047619047619</v>
      </c>
      <c r="AO51" s="90">
        <f t="shared" si="3"/>
        <v>134.16666666666666</v>
      </c>
      <c r="AP51" s="90">
        <f t="shared" si="3"/>
        <v>128.14814814814815</v>
      </c>
      <c r="AQ51" s="1">
        <f t="shared" si="3"/>
        <v>123.33333333333333</v>
      </c>
      <c r="AR51" s="90">
        <f t="shared" si="3"/>
        <v>119.39393939393939</v>
      </c>
      <c r="AS51" s="90">
        <f t="shared" si="3"/>
        <v>113.33333333333333</v>
      </c>
    </row>
    <row r="52" spans="1:49">
      <c r="B52" s="102"/>
      <c r="C52" s="103"/>
      <c r="D52" s="103"/>
      <c r="E52" s="103"/>
      <c r="F52" s="103"/>
      <c r="G52" s="103"/>
      <c r="H52" s="103"/>
      <c r="AW52" s="1"/>
    </row>
    <row r="53" spans="1:49">
      <c r="B53" s="129" t="s">
        <v>459</v>
      </c>
      <c r="C53" s="103"/>
      <c r="D53" s="103"/>
      <c r="E53" s="103"/>
      <c r="F53" s="103"/>
      <c r="G53" s="103"/>
      <c r="H53" s="103"/>
      <c r="AW53" s="1"/>
    </row>
    <row r="54" spans="1:49" ht="15.75">
      <c r="B54" s="103"/>
      <c r="C54" s="130" t="s">
        <v>235</v>
      </c>
      <c r="D54" s="129">
        <f>-AO57/(2*AM57)</f>
        <v>69</v>
      </c>
      <c r="E54" s="130" t="s">
        <v>237</v>
      </c>
      <c r="F54" s="172">
        <f>(AN66/AN64)+AP66</f>
        <v>135</v>
      </c>
      <c r="G54" s="103"/>
      <c r="H54" s="103"/>
      <c r="AM54" s="1">
        <v>3</v>
      </c>
    </row>
    <row r="55" spans="1:49">
      <c r="B55" s="103"/>
      <c r="C55" s="103"/>
      <c r="D55" s="103"/>
      <c r="E55" s="103"/>
      <c r="F55" s="103"/>
      <c r="G55" s="103"/>
      <c r="H55" s="103"/>
      <c r="AM55" s="90" t="s">
        <v>263</v>
      </c>
    </row>
    <row r="56" spans="1:49">
      <c r="A56" s="31"/>
      <c r="B56" s="31"/>
      <c r="C56" s="31"/>
      <c r="D56" s="31"/>
      <c r="E56" s="31"/>
      <c r="F56" s="31"/>
      <c r="G56" s="31"/>
    </row>
    <row r="57" spans="1:49" ht="15">
      <c r="A57" s="59"/>
      <c r="B57" s="59"/>
      <c r="C57" s="59"/>
      <c r="D57" s="31"/>
      <c r="E57" s="31"/>
      <c r="F57" s="31"/>
      <c r="G57" s="31"/>
      <c r="AM57" s="39">
        <f>B42</f>
        <v>10</v>
      </c>
      <c r="AN57" s="380" t="s">
        <v>225</v>
      </c>
      <c r="AO57" s="39">
        <f>(-H42+(E42*F46))</f>
        <v>-1380</v>
      </c>
      <c r="AP57" s="380" t="s">
        <v>226</v>
      </c>
      <c r="AQ57" s="39">
        <f>E42</f>
        <v>6</v>
      </c>
      <c r="AR57" s="41" t="s">
        <v>227</v>
      </c>
      <c r="AS57" s="380"/>
    </row>
    <row r="58" spans="1:49">
      <c r="A58" s="402"/>
      <c r="B58" s="31"/>
      <c r="C58" s="31"/>
      <c r="D58" s="402"/>
      <c r="E58" s="31"/>
      <c r="F58" s="31"/>
      <c r="G58" s="402"/>
      <c r="AT58" s="380"/>
      <c r="AU58" s="39"/>
      <c r="AV58" s="380"/>
      <c r="AW58" s="39"/>
    </row>
    <row r="59" spans="1:49" ht="15">
      <c r="A59" s="29"/>
      <c r="B59" s="402"/>
      <c r="C59" s="402"/>
      <c r="D59" s="29"/>
      <c r="E59" s="402"/>
      <c r="F59" s="402"/>
      <c r="G59" s="29"/>
      <c r="AH59" s="41"/>
      <c r="AI59" s="380"/>
      <c r="AM59" s="90" t="s">
        <v>228</v>
      </c>
      <c r="AN59">
        <f>AO57^2</f>
        <v>1904400</v>
      </c>
      <c r="AO59" s="90" t="s">
        <v>229</v>
      </c>
      <c r="AP59">
        <f>4*AM57*AQ57</f>
        <v>240</v>
      </c>
      <c r="AQ59" s="41" t="s">
        <v>230</v>
      </c>
    </row>
    <row r="60" spans="1:49" ht="15">
      <c r="A60" s="31"/>
      <c r="B60" s="31"/>
      <c r="C60" s="31"/>
      <c r="D60" s="31"/>
      <c r="E60" s="31"/>
      <c r="F60" s="31"/>
      <c r="G60" s="31"/>
      <c r="AU60" s="90"/>
      <c r="AW60" s="41"/>
    </row>
    <row r="61" spans="1:49" ht="15">
      <c r="A61" s="430" t="s">
        <v>518</v>
      </c>
      <c r="B61" s="103"/>
      <c r="C61" s="59"/>
      <c r="D61" s="59"/>
      <c r="E61" s="188"/>
      <c r="F61" s="31"/>
      <c r="G61" s="31"/>
      <c r="AN61" s="41" t="s">
        <v>233</v>
      </c>
      <c r="AO61">
        <f>-(-AO57^2)/-AP59</f>
        <v>7935</v>
      </c>
    </row>
    <row r="62" spans="1:49" ht="15">
      <c r="A62" s="431" t="s">
        <v>510</v>
      </c>
      <c r="B62" s="432"/>
      <c r="C62" s="31"/>
      <c r="D62" s="31"/>
      <c r="E62" s="31"/>
      <c r="F62" s="31"/>
      <c r="G62" s="31"/>
      <c r="AM62" s="90" t="s">
        <v>264</v>
      </c>
      <c r="AT62" s="41"/>
    </row>
    <row r="63" spans="1:49" ht="15">
      <c r="A63" s="431" t="s">
        <v>511</v>
      </c>
      <c r="B63" s="432"/>
      <c r="C63" s="60"/>
      <c r="D63" s="402"/>
      <c r="E63" s="29"/>
      <c r="F63" s="31"/>
      <c r="G63" s="31"/>
    </row>
    <row r="64" spans="1:49" ht="15.75">
      <c r="A64" s="431" t="s">
        <v>512</v>
      </c>
      <c r="B64" s="432"/>
      <c r="C64" s="402"/>
      <c r="D64" s="29"/>
      <c r="E64" s="29"/>
      <c r="F64" s="31"/>
      <c r="G64" s="31"/>
      <c r="AM64" s="380" t="s">
        <v>235</v>
      </c>
      <c r="AN64">
        <f>-AO57/(2*AM57)</f>
        <v>69</v>
      </c>
      <c r="AQ64" s="90" t="s">
        <v>236</v>
      </c>
      <c r="AR64">
        <f>AN64</f>
        <v>69</v>
      </c>
      <c r="AS64">
        <f>AN64</f>
        <v>69</v>
      </c>
    </row>
    <row r="65" spans="1:49">
      <c r="A65" s="431" t="s">
        <v>513</v>
      </c>
      <c r="B65" s="432"/>
      <c r="C65" s="31"/>
      <c r="D65" s="31"/>
      <c r="E65" s="31"/>
      <c r="F65" s="31"/>
      <c r="G65" s="31"/>
      <c r="AR65">
        <v>0</v>
      </c>
      <c r="AS65">
        <f>AN68</f>
        <v>135</v>
      </c>
    </row>
    <row r="66" spans="1:49" ht="15.75">
      <c r="A66" s="431" t="s">
        <v>514</v>
      </c>
      <c r="B66" s="432"/>
      <c r="C66" s="31"/>
      <c r="D66" s="31"/>
      <c r="E66" s="31"/>
      <c r="F66" s="31"/>
      <c r="G66" s="31"/>
      <c r="AM66" s="380" t="s">
        <v>237</v>
      </c>
      <c r="AN66" s="40">
        <f>AO61</f>
        <v>7935</v>
      </c>
      <c r="AO66" s="380" t="s">
        <v>22</v>
      </c>
      <c r="AP66" s="39">
        <f>F46</f>
        <v>20</v>
      </c>
    </row>
    <row r="67" spans="1:49" ht="15.75">
      <c r="A67" s="431" t="s">
        <v>515</v>
      </c>
      <c r="B67" s="431"/>
      <c r="C67" s="31"/>
      <c r="D67" s="31"/>
      <c r="E67" s="31"/>
      <c r="F67" s="31"/>
      <c r="G67" s="31"/>
      <c r="AM67" s="39"/>
      <c r="AN67" s="380" t="s">
        <v>222</v>
      </c>
      <c r="AO67" s="39"/>
      <c r="AP67" s="39"/>
      <c r="AQ67" s="90" t="s">
        <v>239</v>
      </c>
      <c r="AR67">
        <f>AN68</f>
        <v>135</v>
      </c>
      <c r="AS67">
        <f>AN68</f>
        <v>135</v>
      </c>
      <c r="AT67" s="40"/>
      <c r="AU67" s="380"/>
      <c r="AV67" s="39"/>
    </row>
    <row r="68" spans="1:49" ht="15.75">
      <c r="A68" s="431" t="s">
        <v>516</v>
      </c>
      <c r="B68" s="431"/>
      <c r="C68" s="31"/>
      <c r="D68" s="31"/>
      <c r="E68" s="31"/>
      <c r="F68" s="31"/>
      <c r="G68" s="31"/>
      <c r="AM68" s="380" t="s">
        <v>237</v>
      </c>
      <c r="AN68">
        <f>(AN66/AN64)+AP66</f>
        <v>135</v>
      </c>
      <c r="AR68">
        <v>0</v>
      </c>
      <c r="AS68">
        <f>AN64</f>
        <v>69</v>
      </c>
      <c r="AT68" s="380"/>
      <c r="AU68" s="39"/>
      <c r="AV68" s="39"/>
    </row>
    <row r="69" spans="1:49">
      <c r="A69" s="431" t="s">
        <v>517</v>
      </c>
      <c r="B69" s="431"/>
      <c r="C69" s="63"/>
      <c r="D69" s="402"/>
      <c r="E69" s="64"/>
      <c r="F69" s="31"/>
      <c r="G69" s="31"/>
    </row>
    <row r="70" spans="1:49">
      <c r="A70" s="31"/>
      <c r="B70" s="31"/>
      <c r="C70" s="31"/>
      <c r="D70" s="31"/>
      <c r="E70" s="31"/>
      <c r="F70" s="31"/>
      <c r="G70" s="31"/>
      <c r="AM70" s="90" t="s">
        <v>265</v>
      </c>
    </row>
    <row r="72" spans="1:49" ht="15.75">
      <c r="AM72" s="380" t="s">
        <v>241</v>
      </c>
      <c r="AN72">
        <f>$H$42/$B$42*0</f>
        <v>0</v>
      </c>
      <c r="AO72">
        <f>$H$42/$B$42*0.2</f>
        <v>30</v>
      </c>
      <c r="AP72">
        <f>$H$42/$B$42*0.4</f>
        <v>60</v>
      </c>
      <c r="AQ72">
        <f>$H$42/$B$42*0.6</f>
        <v>90</v>
      </c>
      <c r="AR72">
        <f>$H$42/$B$42*0.8</f>
        <v>120</v>
      </c>
      <c r="AS72">
        <f>$H$42/$B$42</f>
        <v>150</v>
      </c>
    </row>
    <row r="73" spans="1:49" ht="15.75">
      <c r="AM73" s="380" t="s">
        <v>242</v>
      </c>
      <c r="AN73">
        <f t="shared" ref="AN73:AS73" si="4">(-$B$42*AN72)/$E$42+($H$42/$E$42)</f>
        <v>250</v>
      </c>
      <c r="AO73">
        <f t="shared" si="4"/>
        <v>200</v>
      </c>
      <c r="AP73">
        <f t="shared" si="4"/>
        <v>150</v>
      </c>
      <c r="AQ73">
        <f t="shared" si="4"/>
        <v>100</v>
      </c>
      <c r="AR73">
        <f t="shared" si="4"/>
        <v>50</v>
      </c>
      <c r="AS73">
        <f t="shared" si="4"/>
        <v>0</v>
      </c>
    </row>
    <row r="75" spans="1:49">
      <c r="AM75" s="90" t="s">
        <v>266</v>
      </c>
    </row>
    <row r="77" spans="1:49" ht="15.75">
      <c r="AM77" s="380" t="s">
        <v>241</v>
      </c>
      <c r="AN77" s="90">
        <f>$AN$64*0.7</f>
        <v>48.3</v>
      </c>
      <c r="AO77" s="90">
        <f>$AN$64*0.8</f>
        <v>55.2</v>
      </c>
      <c r="AP77" s="90">
        <f>$AN$64*0.9</f>
        <v>62.1</v>
      </c>
      <c r="AQ77" s="1">
        <f>$AN$64</f>
        <v>69</v>
      </c>
      <c r="AR77" s="90">
        <f>$AN$64*1.1</f>
        <v>75.900000000000006</v>
      </c>
      <c r="AS77" s="90">
        <f>$AN$64*1.3</f>
        <v>89.7</v>
      </c>
    </row>
    <row r="78" spans="1:49" ht="15.75">
      <c r="AM78" s="380" t="s">
        <v>242</v>
      </c>
      <c r="AN78" s="90">
        <f t="shared" ref="AN78:AS78" si="5">($AO$61/AN77)+$F$46</f>
        <v>184.28571428571431</v>
      </c>
      <c r="AO78" s="90">
        <f t="shared" si="5"/>
        <v>163.75</v>
      </c>
      <c r="AP78" s="90">
        <f t="shared" si="5"/>
        <v>147.77777777777777</v>
      </c>
      <c r="AQ78" s="90">
        <f t="shared" si="5"/>
        <v>135</v>
      </c>
      <c r="AR78" s="90">
        <f t="shared" si="5"/>
        <v>124.54545454545453</v>
      </c>
      <c r="AS78" s="90">
        <f t="shared" si="5"/>
        <v>108.46153846153845</v>
      </c>
      <c r="AW78" s="1"/>
    </row>
    <row r="79" spans="1:49">
      <c r="AS79" s="380"/>
      <c r="AW79" s="1"/>
    </row>
    <row r="81" spans="39:56">
      <c r="AM81" s="1"/>
      <c r="AT81" s="1" t="s">
        <v>267</v>
      </c>
      <c r="AX81" s="90" t="s">
        <v>268</v>
      </c>
      <c r="AZ81" s="404" t="s">
        <v>269</v>
      </c>
      <c r="BA81" s="90">
        <f>(AV84-AU84)/(AV83-AU83)</f>
        <v>-2.6086956521739131</v>
      </c>
      <c r="BB81" s="90" t="s">
        <v>170</v>
      </c>
      <c r="BC81" s="90" t="s">
        <v>22</v>
      </c>
      <c r="BD81">
        <f>-(AV84-AU84)/(AV83-AU83)*AU83+AU84</f>
        <v>208.1159420289855</v>
      </c>
    </row>
    <row r="82" spans="39:56">
      <c r="AM82" s="1" t="s">
        <v>270</v>
      </c>
      <c r="AT82" s="90" t="s">
        <v>271</v>
      </c>
      <c r="AU82">
        <v>1</v>
      </c>
      <c r="AV82">
        <v>2</v>
      </c>
      <c r="AW82" s="90" t="s">
        <v>272</v>
      </c>
    </row>
    <row r="83" spans="39:56">
      <c r="AN83">
        <v>0</v>
      </c>
      <c r="AO83">
        <v>1</v>
      </c>
      <c r="AP83">
        <v>2</v>
      </c>
      <c r="AQ83">
        <v>3</v>
      </c>
      <c r="AR83" t="s">
        <v>273</v>
      </c>
      <c r="AT83" s="380">
        <f>AU83*0.4</f>
        <v>17.600000000000001</v>
      </c>
      <c r="AU83">
        <f>AO84</f>
        <v>44</v>
      </c>
      <c r="AV83">
        <f>AP84</f>
        <v>32.5</v>
      </c>
      <c r="AW83">
        <f>AV83*1.6</f>
        <v>52</v>
      </c>
    </row>
    <row r="84" spans="39:56">
      <c r="AM84" s="90" t="s">
        <v>195</v>
      </c>
      <c r="AN84">
        <f>AO84*0.8</f>
        <v>35.200000000000003</v>
      </c>
      <c r="AO84">
        <f>AN10</f>
        <v>44</v>
      </c>
      <c r="AP84">
        <f>AN37</f>
        <v>32.5</v>
      </c>
      <c r="AQ84">
        <f>AN64</f>
        <v>69</v>
      </c>
      <c r="AR84">
        <f>AQ84*1.2</f>
        <v>82.8</v>
      </c>
      <c r="AS84" s="380"/>
      <c r="AT84" s="380">
        <f>BA81*AT83+BD81</f>
        <v>162.20289855072463</v>
      </c>
      <c r="AU84">
        <f>AO85</f>
        <v>93.333333333333329</v>
      </c>
      <c r="AV84">
        <f>AP85</f>
        <v>123.33333333333333</v>
      </c>
      <c r="AW84">
        <f>BA81*AW83+BD81</f>
        <v>72.463768115942031</v>
      </c>
    </row>
    <row r="85" spans="39:56">
      <c r="AM85" s="90" t="s">
        <v>196</v>
      </c>
      <c r="AN85">
        <f>AO85*0.8</f>
        <v>74.666666666666671</v>
      </c>
      <c r="AO85">
        <f>AN14</f>
        <v>93.333333333333329</v>
      </c>
      <c r="AP85">
        <f>AN41</f>
        <v>123.33333333333333</v>
      </c>
      <c r="AQ85">
        <f>AN68</f>
        <v>135</v>
      </c>
      <c r="AR85">
        <f>AQ85*1.2</f>
        <v>162</v>
      </c>
    </row>
    <row r="87" spans="39:56">
      <c r="AM87" s="1" t="s">
        <v>274</v>
      </c>
    </row>
    <row r="88" spans="39:56">
      <c r="AR88" t="s">
        <v>236</v>
      </c>
    </row>
    <row r="89" spans="39:56">
      <c r="AN89">
        <v>1</v>
      </c>
      <c r="AO89">
        <v>2</v>
      </c>
      <c r="AP89">
        <v>3</v>
      </c>
      <c r="AR89">
        <v>1</v>
      </c>
      <c r="AT89">
        <v>2</v>
      </c>
      <c r="AV89">
        <v>3</v>
      </c>
    </row>
    <row r="90" spans="39:56" ht="15.75">
      <c r="AM90" s="380" t="s">
        <v>241</v>
      </c>
      <c r="AN90">
        <f>AO84</f>
        <v>44</v>
      </c>
      <c r="AO90">
        <f>AP84</f>
        <v>32.5</v>
      </c>
      <c r="AP90">
        <f>AQ84</f>
        <v>69</v>
      </c>
      <c r="AR90">
        <f>AN90</f>
        <v>44</v>
      </c>
      <c r="AS90">
        <f>AN90</f>
        <v>44</v>
      </c>
      <c r="AT90">
        <f>AO90</f>
        <v>32.5</v>
      </c>
      <c r="AU90">
        <f>AO90</f>
        <v>32.5</v>
      </c>
      <c r="AV90">
        <f>AP90</f>
        <v>69</v>
      </c>
      <c r="AW90">
        <f>AP90</f>
        <v>69</v>
      </c>
    </row>
    <row r="91" spans="39:56">
      <c r="AM91" s="39" t="s">
        <v>199</v>
      </c>
      <c r="AN91">
        <f>H8</f>
        <v>1000</v>
      </c>
      <c r="AO91">
        <f>G25</f>
        <v>1000</v>
      </c>
      <c r="AP91">
        <f>H42</f>
        <v>1500</v>
      </c>
      <c r="AR91">
        <v>0</v>
      </c>
      <c r="AS91">
        <f>AN91</f>
        <v>1000</v>
      </c>
      <c r="AT91">
        <v>0</v>
      </c>
      <c r="AU91">
        <f>AO91</f>
        <v>1000</v>
      </c>
      <c r="AV91">
        <v>0</v>
      </c>
      <c r="AW91">
        <f>AP91</f>
        <v>1500</v>
      </c>
    </row>
    <row r="92" spans="39:56">
      <c r="AM92" s="39"/>
    </row>
    <row r="93" spans="39:56">
      <c r="AM93" s="380"/>
      <c r="AN93" s="40"/>
      <c r="AO93" s="380"/>
      <c r="AP93" s="39"/>
      <c r="AR93" s="90" t="s">
        <v>239</v>
      </c>
    </row>
    <row r="94" spans="39:56">
      <c r="AM94" s="39"/>
      <c r="AN94" s="380"/>
      <c r="AO94" s="39"/>
      <c r="AP94" s="39"/>
      <c r="AQ94" s="90"/>
      <c r="AR94">
        <v>1</v>
      </c>
      <c r="AT94">
        <v>2</v>
      </c>
      <c r="AV94">
        <v>3</v>
      </c>
    </row>
    <row r="95" spans="39:56">
      <c r="AM95" s="380"/>
      <c r="AR95">
        <f>AN95</f>
        <v>0</v>
      </c>
      <c r="AS95">
        <f>AN90</f>
        <v>44</v>
      </c>
      <c r="AT95">
        <f>AO95</f>
        <v>0</v>
      </c>
      <c r="AU95">
        <f>AO90</f>
        <v>32.5</v>
      </c>
      <c r="AV95">
        <f>AP95</f>
        <v>0</v>
      </c>
      <c r="AW95">
        <f>AP90</f>
        <v>69</v>
      </c>
    </row>
    <row r="96" spans="39:56">
      <c r="AN96" s="58" t="s">
        <v>275</v>
      </c>
      <c r="AR96">
        <f>AN91</f>
        <v>1000</v>
      </c>
      <c r="AS96">
        <f>AN91</f>
        <v>1000</v>
      </c>
      <c r="AT96">
        <f>AO91</f>
        <v>1000</v>
      </c>
      <c r="AU96">
        <f>AO91</f>
        <v>1000</v>
      </c>
      <c r="AV96">
        <f>AP91</f>
        <v>1500</v>
      </c>
      <c r="AW96">
        <f>AP91</f>
        <v>1500</v>
      </c>
    </row>
    <row r="97" spans="39:45">
      <c r="AM97" s="39"/>
    </row>
    <row r="98" spans="39:45">
      <c r="AM98" s="39"/>
      <c r="AN98">
        <v>1</v>
      </c>
      <c r="AO98">
        <v>2</v>
      </c>
      <c r="AP98">
        <v>3</v>
      </c>
    </row>
    <row r="99" spans="39:45" ht="15.75">
      <c r="AM99" s="380" t="s">
        <v>276</v>
      </c>
      <c r="AN99" s="34">
        <f>F20</f>
        <v>93.333333333333329</v>
      </c>
      <c r="AO99" s="34">
        <f>E37</f>
        <v>123.33333333333333</v>
      </c>
      <c r="AP99" s="34">
        <f>F54</f>
        <v>135</v>
      </c>
    </row>
    <row r="100" spans="39:45">
      <c r="AM100" s="39" t="s">
        <v>199</v>
      </c>
      <c r="AN100">
        <f>H8</f>
        <v>1000</v>
      </c>
      <c r="AO100">
        <f>G25</f>
        <v>1000</v>
      </c>
      <c r="AP100">
        <f>H42</f>
        <v>1500</v>
      </c>
    </row>
    <row r="102" spans="39:45">
      <c r="AM102" s="90"/>
    </row>
    <row r="104" spans="39:45">
      <c r="AM104" s="380"/>
      <c r="AN104" s="90"/>
      <c r="AO104" s="90"/>
      <c r="AP104" s="90"/>
      <c r="AQ104" s="1"/>
      <c r="AR104" s="90"/>
      <c r="AS104" s="90"/>
    </row>
    <row r="105" spans="39:45">
      <c r="AM105" s="380"/>
      <c r="AN105" s="90"/>
      <c r="AO105" s="90"/>
      <c r="AP105" s="90"/>
      <c r="AQ105" s="90"/>
      <c r="AR105" s="90"/>
      <c r="AS105" s="9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E112"/>
  <sheetViews>
    <sheetView topLeftCell="A41" zoomScale="60" zoomScaleNormal="60" workbookViewId="0">
      <selection activeCell="A60" sqref="A60:B68"/>
    </sheetView>
  </sheetViews>
  <sheetFormatPr defaultRowHeight="12.75"/>
  <cols>
    <col min="8" max="8" width="11.5703125" customWidth="1"/>
    <col min="47" max="47" width="12.28515625" customWidth="1"/>
    <col min="50" max="50" width="10.42578125" customWidth="1"/>
    <col min="54" max="54" width="13.85546875" customWidth="1"/>
  </cols>
  <sheetData>
    <row r="1" spans="2:49" ht="15">
      <c r="B1" s="103"/>
      <c r="C1" s="103"/>
      <c r="D1" s="103"/>
      <c r="E1" s="129"/>
      <c r="F1" s="129" t="s">
        <v>449</v>
      </c>
      <c r="G1" s="151"/>
      <c r="H1" s="151"/>
      <c r="I1" s="151"/>
      <c r="J1" s="151"/>
      <c r="K1" s="151"/>
      <c r="L1" s="151"/>
      <c r="M1" s="152"/>
      <c r="N1" s="103"/>
      <c r="O1" s="102" t="s">
        <v>1</v>
      </c>
      <c r="P1" s="103"/>
      <c r="Q1" s="103"/>
      <c r="R1" s="103"/>
      <c r="S1" s="103"/>
      <c r="T1" s="103"/>
      <c r="U1" s="103"/>
      <c r="V1" s="103"/>
      <c r="W1" s="103"/>
      <c r="AM1" s="90" t="s">
        <v>468</v>
      </c>
    </row>
    <row r="2" spans="2:49" ht="15.75">
      <c r="B2" s="103"/>
      <c r="C2" s="103"/>
      <c r="D2" s="153" t="s">
        <v>462</v>
      </c>
      <c r="E2" s="103"/>
      <c r="F2" s="103"/>
      <c r="G2" s="151"/>
      <c r="H2" s="151"/>
      <c r="I2" s="151"/>
      <c r="J2" s="151"/>
      <c r="K2" s="152"/>
      <c r="L2" s="152"/>
      <c r="M2" s="152"/>
      <c r="N2" s="103"/>
      <c r="O2" s="102" t="s">
        <v>43</v>
      </c>
      <c r="P2" s="103"/>
      <c r="Q2" s="103"/>
      <c r="R2" s="103"/>
      <c r="S2" s="103"/>
      <c r="T2" s="103"/>
      <c r="U2" s="103"/>
      <c r="V2" s="103"/>
      <c r="W2" s="103"/>
    </row>
    <row r="3" spans="2:49" ht="15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AM3" s="39">
        <f>B8</f>
        <v>10</v>
      </c>
      <c r="AN3" s="380" t="s">
        <v>225</v>
      </c>
      <c r="AO3" s="39">
        <f>(-H8+(E8*F12))</f>
        <v>-880</v>
      </c>
      <c r="AP3" s="380" t="s">
        <v>226</v>
      </c>
      <c r="AQ3" s="39">
        <f>E8</f>
        <v>6</v>
      </c>
      <c r="AR3" s="41" t="s">
        <v>227</v>
      </c>
      <c r="AS3" s="380"/>
    </row>
    <row r="4" spans="2:49">
      <c r="AW4" s="39"/>
    </row>
    <row r="5" spans="2:49" ht="15">
      <c r="B5" s="103"/>
      <c r="C5" s="103"/>
      <c r="D5" s="103"/>
      <c r="E5" s="103"/>
      <c r="F5" s="103"/>
      <c r="G5" s="103"/>
      <c r="H5" s="103"/>
      <c r="AH5" s="41"/>
      <c r="AI5" s="380"/>
      <c r="AM5" s="90" t="s">
        <v>228</v>
      </c>
      <c r="AN5">
        <f>AO3^2</f>
        <v>774400</v>
      </c>
      <c r="AO5" s="90" t="s">
        <v>229</v>
      </c>
      <c r="AP5">
        <f>4*AM3*AQ3</f>
        <v>240</v>
      </c>
      <c r="AQ5" s="41" t="s">
        <v>230</v>
      </c>
    </row>
    <row r="6" spans="2:49" ht="15">
      <c r="B6" s="405" t="s">
        <v>429</v>
      </c>
      <c r="C6" s="65"/>
      <c r="D6" s="65"/>
      <c r="E6" s="103"/>
      <c r="F6" s="103"/>
      <c r="G6" s="103"/>
      <c r="H6" s="103"/>
      <c r="AW6" s="41"/>
    </row>
    <row r="7" spans="2:49" ht="16.5">
      <c r="B7" s="130" t="s">
        <v>197</v>
      </c>
      <c r="C7" s="103"/>
      <c r="D7" s="103"/>
      <c r="E7" s="130" t="s">
        <v>198</v>
      </c>
      <c r="F7" s="103"/>
      <c r="G7" s="103"/>
      <c r="H7" s="130" t="s">
        <v>199</v>
      </c>
      <c r="AN7" s="41" t="s">
        <v>233</v>
      </c>
      <c r="AO7">
        <f>-(-AO3^2)/-AP5</f>
        <v>3226.6666666666665</v>
      </c>
    </row>
    <row r="8" spans="2:49" ht="15.75">
      <c r="B8" s="150">
        <v>10</v>
      </c>
      <c r="C8" s="130" t="s">
        <v>231</v>
      </c>
      <c r="D8" s="130" t="s">
        <v>22</v>
      </c>
      <c r="E8" s="150">
        <v>6</v>
      </c>
      <c r="F8" s="130" t="s">
        <v>232</v>
      </c>
      <c r="G8" s="130" t="s">
        <v>159</v>
      </c>
      <c r="H8" s="150">
        <v>1000</v>
      </c>
      <c r="AM8" s="90" t="s">
        <v>437</v>
      </c>
    </row>
    <row r="9" spans="2:49">
      <c r="B9" s="103"/>
      <c r="C9" s="103"/>
      <c r="D9" s="103"/>
      <c r="E9" s="103"/>
      <c r="F9" s="103"/>
      <c r="G9" s="103"/>
      <c r="H9" s="103"/>
    </row>
    <row r="10" spans="2:49" ht="15.75">
      <c r="B10" s="405" t="s">
        <v>467</v>
      </c>
      <c r="C10" s="65"/>
      <c r="D10" s="65"/>
      <c r="E10" s="65"/>
      <c r="F10" s="103"/>
      <c r="G10" s="103"/>
      <c r="H10" s="103"/>
      <c r="AM10" s="380" t="s">
        <v>235</v>
      </c>
      <c r="AN10">
        <f>-AO3/(2*AM3)</f>
        <v>44</v>
      </c>
      <c r="AQ10" s="90" t="s">
        <v>447</v>
      </c>
      <c r="AR10">
        <f>AN10</f>
        <v>44</v>
      </c>
      <c r="AS10">
        <f>AN10</f>
        <v>44</v>
      </c>
    </row>
    <row r="11" spans="2:49">
      <c r="B11" s="103"/>
      <c r="C11" s="103"/>
      <c r="D11" s="103"/>
      <c r="E11" s="103"/>
      <c r="F11" s="103"/>
      <c r="G11" s="103"/>
      <c r="H11" s="103"/>
      <c r="AR11">
        <v>0</v>
      </c>
      <c r="AS11">
        <f>AN14</f>
        <v>93.333333333333329</v>
      </c>
    </row>
    <row r="12" spans="2:49" ht="16.5">
      <c r="B12" s="82"/>
      <c r="C12" s="130" t="s">
        <v>237</v>
      </c>
      <c r="D12" s="269" t="s">
        <v>238</v>
      </c>
      <c r="E12" s="130" t="s">
        <v>22</v>
      </c>
      <c r="F12" s="82">
        <v>20</v>
      </c>
      <c r="G12" s="103"/>
      <c r="H12" s="103"/>
      <c r="AM12" s="380" t="s">
        <v>237</v>
      </c>
      <c r="AN12" s="40">
        <f>AO7</f>
        <v>3226.6666666666665</v>
      </c>
      <c r="AO12" s="380" t="s">
        <v>22</v>
      </c>
      <c r="AP12" s="39">
        <f>F12</f>
        <v>20</v>
      </c>
    </row>
    <row r="13" spans="2:49" ht="15.75">
      <c r="B13" s="82"/>
      <c r="C13" s="82"/>
      <c r="D13" s="130" t="s">
        <v>222</v>
      </c>
      <c r="E13" s="82"/>
      <c r="F13" s="82"/>
      <c r="G13" s="103"/>
      <c r="H13" s="273" t="s">
        <v>338</v>
      </c>
      <c r="AM13" s="39"/>
      <c r="AN13" s="380" t="s">
        <v>222</v>
      </c>
      <c r="AO13" s="39"/>
      <c r="AP13" s="39"/>
      <c r="AQ13" s="90" t="s">
        <v>448</v>
      </c>
      <c r="AR13">
        <f>AN14</f>
        <v>93.333333333333329</v>
      </c>
      <c r="AS13">
        <f>AN14</f>
        <v>93.333333333333329</v>
      </c>
    </row>
    <row r="14" spans="2:49" ht="15.75">
      <c r="B14" s="102" t="s">
        <v>453</v>
      </c>
      <c r="C14" s="103"/>
      <c r="D14" s="103"/>
      <c r="E14" s="103"/>
      <c r="F14" s="103"/>
      <c r="G14" s="103"/>
      <c r="H14" s="103"/>
      <c r="AM14" s="380" t="s">
        <v>237</v>
      </c>
      <c r="AN14">
        <f>(AN12/AN10)+AP12</f>
        <v>93.333333333333329</v>
      </c>
      <c r="AR14">
        <v>0</v>
      </c>
      <c r="AS14">
        <f>AN10</f>
        <v>44</v>
      </c>
    </row>
    <row r="15" spans="2:49">
      <c r="B15" s="103"/>
      <c r="C15" s="103"/>
      <c r="D15" s="103"/>
      <c r="E15" s="103"/>
      <c r="F15" s="103"/>
      <c r="G15" s="103"/>
      <c r="H15" s="103"/>
    </row>
    <row r="16" spans="2:49" ht="15.75">
      <c r="B16" s="103"/>
      <c r="C16" s="130" t="s">
        <v>237</v>
      </c>
      <c r="D16" s="270">
        <f>AO7</f>
        <v>3226.6666666666665</v>
      </c>
      <c r="E16" s="130" t="s">
        <v>22</v>
      </c>
      <c r="F16" s="82">
        <f>F12</f>
        <v>20</v>
      </c>
      <c r="G16" s="103"/>
      <c r="H16" s="103"/>
      <c r="AM16" s="90" t="s">
        <v>439</v>
      </c>
    </row>
    <row r="17" spans="1:49" ht="15.75">
      <c r="B17" s="103"/>
      <c r="C17" s="82"/>
      <c r="D17" s="130" t="s">
        <v>222</v>
      </c>
      <c r="E17" s="82"/>
      <c r="F17" s="82"/>
      <c r="G17" s="103"/>
      <c r="H17" s="103"/>
      <c r="I17" s="24"/>
      <c r="J17" s="24"/>
      <c r="K17" s="24"/>
      <c r="L17" s="24"/>
      <c r="M17" s="24"/>
      <c r="N17" s="24"/>
      <c r="O17" s="24"/>
    </row>
    <row r="18" spans="1:49" ht="15.75">
      <c r="B18" s="102"/>
      <c r="C18" s="103"/>
      <c r="D18" s="103"/>
      <c r="E18" s="103"/>
      <c r="F18" s="103"/>
      <c r="G18" s="103"/>
      <c r="H18" s="103"/>
      <c r="I18" s="24"/>
      <c r="J18" s="24"/>
      <c r="K18" s="24"/>
      <c r="L18" s="24"/>
      <c r="M18" s="24"/>
      <c r="N18" s="24"/>
      <c r="O18" s="24"/>
      <c r="AM18" s="380" t="s">
        <v>241</v>
      </c>
      <c r="AN18">
        <f>$H$8/$B$8*0</f>
        <v>0</v>
      </c>
      <c r="AO18">
        <f>$H$8/$B$8*0.2</f>
        <v>20</v>
      </c>
      <c r="AP18">
        <f>$H$8/$B$8*0.4</f>
        <v>40</v>
      </c>
      <c r="AQ18">
        <f>$H$8/$B$8*0.6</f>
        <v>60</v>
      </c>
      <c r="AR18">
        <f>$H$8/$B$8*0.8</f>
        <v>80</v>
      </c>
      <c r="AS18">
        <f>$H$8/$B$8</f>
        <v>100</v>
      </c>
    </row>
    <row r="19" spans="1:49" ht="15.75">
      <c r="B19" s="129" t="s">
        <v>464</v>
      </c>
      <c r="C19" s="103"/>
      <c r="D19" s="103"/>
      <c r="E19" s="103"/>
      <c r="F19" s="103"/>
      <c r="G19" s="103"/>
      <c r="H19" s="103"/>
      <c r="AM19" s="380" t="s">
        <v>242</v>
      </c>
      <c r="AN19">
        <f t="shared" ref="AN19:AS19" si="0">(-$B$8*AN18)/$E$8+($H$8/$E$8)</f>
        <v>166.66666666666666</v>
      </c>
      <c r="AO19">
        <f t="shared" si="0"/>
        <v>133.33333333333331</v>
      </c>
      <c r="AP19">
        <f t="shared" si="0"/>
        <v>99.999999999999986</v>
      </c>
      <c r="AQ19">
        <f t="shared" si="0"/>
        <v>66.666666666666657</v>
      </c>
      <c r="AR19">
        <f t="shared" si="0"/>
        <v>33.333333333333314</v>
      </c>
      <c r="AS19">
        <f t="shared" si="0"/>
        <v>0</v>
      </c>
    </row>
    <row r="20" spans="1:49" ht="15.75">
      <c r="A20" s="24"/>
      <c r="B20" s="103"/>
      <c r="C20" s="130" t="s">
        <v>235</v>
      </c>
      <c r="D20" s="129">
        <f>-AO3/(2*AM3)</f>
        <v>44</v>
      </c>
      <c r="E20" s="130" t="s">
        <v>237</v>
      </c>
      <c r="F20" s="172">
        <f>(AN12/AN10)+AP12</f>
        <v>93.333333333333329</v>
      </c>
      <c r="G20" s="103"/>
      <c r="H20" s="103"/>
    </row>
    <row r="21" spans="1:49">
      <c r="B21" s="130"/>
      <c r="C21" s="103"/>
      <c r="D21" s="103"/>
      <c r="E21" s="130"/>
      <c r="F21" s="103"/>
      <c r="G21" s="103"/>
      <c r="H21" s="103"/>
      <c r="AM21" s="90" t="s">
        <v>440</v>
      </c>
    </row>
    <row r="22" spans="1:49">
      <c r="A22" s="103"/>
      <c r="B22" s="103"/>
      <c r="C22" s="103"/>
      <c r="D22" s="103"/>
      <c r="E22" s="103"/>
      <c r="F22" s="103"/>
      <c r="G22" s="103"/>
    </row>
    <row r="23" spans="1:49" ht="15.75">
      <c r="A23" s="406" t="s">
        <v>465</v>
      </c>
      <c r="B23" s="96"/>
      <c r="C23" s="96"/>
      <c r="D23" s="103"/>
      <c r="E23" s="103"/>
      <c r="F23" s="103"/>
      <c r="G23" s="103"/>
      <c r="AM23" s="380" t="s">
        <v>241</v>
      </c>
      <c r="AN23">
        <f>$AN$10*0.7</f>
        <v>30.799999999999997</v>
      </c>
      <c r="AO23">
        <f>$AN$10*0.8</f>
        <v>35.200000000000003</v>
      </c>
      <c r="AP23">
        <f>$AN$10*0.9</f>
        <v>39.6</v>
      </c>
      <c r="AQ23" s="1">
        <f>$AN$10</f>
        <v>44</v>
      </c>
      <c r="AR23">
        <f>$AN$10*1.1</f>
        <v>48.400000000000006</v>
      </c>
      <c r="AS23">
        <f>$AN$10*1.3</f>
        <v>57.2</v>
      </c>
    </row>
    <row r="24" spans="1:49" ht="15.75">
      <c r="A24" s="130" t="s">
        <v>197</v>
      </c>
      <c r="B24" s="103"/>
      <c r="C24" s="103"/>
      <c r="D24" s="130" t="s">
        <v>198</v>
      </c>
      <c r="E24" s="103"/>
      <c r="F24" s="103"/>
      <c r="G24" s="130" t="s">
        <v>199</v>
      </c>
      <c r="AM24" s="380" t="s">
        <v>242</v>
      </c>
      <c r="AN24">
        <f t="shared" ref="AN24:AS24" si="1">($AO$7/AN23)+$F$12</f>
        <v>124.76190476190477</v>
      </c>
      <c r="AO24">
        <f t="shared" si="1"/>
        <v>111.66666666666666</v>
      </c>
      <c r="AP24">
        <f t="shared" si="1"/>
        <v>101.48148148148148</v>
      </c>
      <c r="AQ24" s="1">
        <f t="shared" si="1"/>
        <v>93.333333333333329</v>
      </c>
      <c r="AR24">
        <f t="shared" si="1"/>
        <v>86.666666666666657</v>
      </c>
      <c r="AS24">
        <f t="shared" si="1"/>
        <v>76.410256410256409</v>
      </c>
      <c r="AW24" s="1"/>
    </row>
    <row r="25" spans="1:49" ht="15.75">
      <c r="A25" s="150">
        <v>10</v>
      </c>
      <c r="B25" s="130" t="s">
        <v>231</v>
      </c>
      <c r="C25" s="130" t="s">
        <v>22</v>
      </c>
      <c r="D25" s="150">
        <v>6</v>
      </c>
      <c r="E25" s="130" t="s">
        <v>232</v>
      </c>
      <c r="F25" s="130" t="s">
        <v>159</v>
      </c>
      <c r="G25" s="150">
        <v>1300</v>
      </c>
      <c r="AW25" s="1"/>
    </row>
    <row r="26" spans="1:49">
      <c r="A26" s="103"/>
      <c r="B26" s="103"/>
      <c r="C26" s="103"/>
      <c r="D26" s="103"/>
      <c r="E26" s="103"/>
      <c r="F26" s="103"/>
      <c r="G26" s="103"/>
    </row>
    <row r="27" spans="1:49">
      <c r="A27" s="406" t="s">
        <v>466</v>
      </c>
      <c r="B27" s="96"/>
      <c r="C27" s="96"/>
      <c r="D27" s="96"/>
      <c r="E27" s="103"/>
      <c r="F27" s="103"/>
      <c r="G27" s="103"/>
      <c r="AM27" s="1">
        <v>2</v>
      </c>
    </row>
    <row r="28" spans="1:49">
      <c r="A28" s="103"/>
      <c r="B28" s="103"/>
      <c r="C28" s="103"/>
      <c r="D28" s="103"/>
      <c r="E28" s="103"/>
      <c r="F28" s="103"/>
      <c r="G28" s="103"/>
      <c r="AM28" s="90" t="s">
        <v>469</v>
      </c>
    </row>
    <row r="29" spans="1:49" ht="16.5">
      <c r="A29" s="82"/>
      <c r="B29" s="130" t="s">
        <v>237</v>
      </c>
      <c r="C29" s="269" t="s">
        <v>238</v>
      </c>
      <c r="D29" s="130" t="s">
        <v>22</v>
      </c>
      <c r="E29" s="82">
        <v>20</v>
      </c>
      <c r="F29" s="103"/>
      <c r="G29" s="103"/>
    </row>
    <row r="30" spans="1:49" ht="16.5">
      <c r="A30" s="82"/>
      <c r="B30" s="82"/>
      <c r="C30" s="130" t="s">
        <v>222</v>
      </c>
      <c r="D30" s="82"/>
      <c r="E30" s="82"/>
      <c r="F30" s="103"/>
      <c r="G30" s="103"/>
      <c r="AM30" s="39">
        <f>A25</f>
        <v>10</v>
      </c>
      <c r="AN30" s="380" t="s">
        <v>225</v>
      </c>
      <c r="AO30" s="39">
        <f>(-G25+(D25*E29))</f>
        <v>-1180</v>
      </c>
      <c r="AP30" s="380" t="s">
        <v>226</v>
      </c>
      <c r="AQ30" s="39">
        <f>D25</f>
        <v>6</v>
      </c>
      <c r="AR30" s="41" t="s">
        <v>227</v>
      </c>
      <c r="AS30" s="380"/>
    </row>
    <row r="31" spans="1:49">
      <c r="A31" s="102" t="s">
        <v>456</v>
      </c>
      <c r="B31" s="103"/>
      <c r="C31" s="103"/>
      <c r="D31" s="103"/>
      <c r="E31" s="103"/>
      <c r="F31" s="103"/>
      <c r="G31" s="103"/>
    </row>
    <row r="32" spans="1:49" ht="15">
      <c r="A32" s="103"/>
      <c r="B32" s="103"/>
      <c r="C32" s="103"/>
      <c r="D32" s="103"/>
      <c r="E32" s="103"/>
      <c r="F32" s="103"/>
      <c r="G32" s="103"/>
      <c r="H32" s="272"/>
      <c r="AM32" s="90" t="s">
        <v>228</v>
      </c>
      <c r="AN32">
        <f>AO30^2</f>
        <v>1392400</v>
      </c>
      <c r="AO32" s="90" t="s">
        <v>229</v>
      </c>
      <c r="AP32">
        <f>4*AM30*AQ30</f>
        <v>240</v>
      </c>
      <c r="AQ32" s="41" t="s">
        <v>230</v>
      </c>
      <c r="AW32" s="39"/>
    </row>
    <row r="33" spans="1:45" ht="16.5">
      <c r="A33" s="103"/>
      <c r="B33" s="130" t="s">
        <v>237</v>
      </c>
      <c r="C33" s="270">
        <f>AO34</f>
        <v>5801.666666666667</v>
      </c>
      <c r="D33" s="130" t="s">
        <v>22</v>
      </c>
      <c r="E33" s="82">
        <f>E29</f>
        <v>20</v>
      </c>
      <c r="F33" s="103"/>
      <c r="G33" s="103"/>
      <c r="AH33" s="41"/>
      <c r="AI33" s="380"/>
    </row>
    <row r="34" spans="1:45" ht="16.5">
      <c r="A34" s="103"/>
      <c r="B34" s="82"/>
      <c r="C34" s="130" t="s">
        <v>222</v>
      </c>
      <c r="D34" s="82"/>
      <c r="E34" s="82"/>
      <c r="F34" s="103"/>
      <c r="G34" s="103"/>
      <c r="AN34" s="41" t="s">
        <v>233</v>
      </c>
      <c r="AO34">
        <f>-(-AO30^2)/-AP32</f>
        <v>5801.666666666667</v>
      </c>
    </row>
    <row r="35" spans="1:45">
      <c r="A35" s="102"/>
      <c r="B35" s="103"/>
      <c r="C35" s="103"/>
      <c r="D35" s="103"/>
      <c r="E35" s="103"/>
      <c r="F35" s="103"/>
      <c r="G35" s="103"/>
      <c r="AM35" s="90" t="s">
        <v>442</v>
      </c>
    </row>
    <row r="36" spans="1:45">
      <c r="A36" s="129" t="s">
        <v>485</v>
      </c>
      <c r="B36" s="103"/>
      <c r="C36" s="103"/>
      <c r="D36" s="103"/>
      <c r="E36" s="103"/>
      <c r="F36" s="103"/>
      <c r="G36" s="103"/>
    </row>
    <row r="37" spans="1:45" ht="15.75">
      <c r="A37" s="103"/>
      <c r="B37" s="130" t="s">
        <v>235</v>
      </c>
      <c r="C37" s="129">
        <f>-AO30/(2*AM30)</f>
        <v>59</v>
      </c>
      <c r="D37" s="130" t="s">
        <v>237</v>
      </c>
      <c r="E37" s="172">
        <f>(AN39/AN37)+AP39</f>
        <v>118.33333333333334</v>
      </c>
      <c r="F37" s="103"/>
      <c r="G37" s="103"/>
      <c r="AM37" s="380" t="s">
        <v>235</v>
      </c>
      <c r="AN37">
        <f>-AO30/(2*AM30)</f>
        <v>59</v>
      </c>
      <c r="AQ37" s="90" t="s">
        <v>447</v>
      </c>
      <c r="AR37">
        <f>AN37</f>
        <v>59</v>
      </c>
      <c r="AS37">
        <f>AN37</f>
        <v>59</v>
      </c>
    </row>
    <row r="38" spans="1:45">
      <c r="A38" s="103"/>
      <c r="B38" s="103"/>
      <c r="C38" s="103"/>
      <c r="D38" s="103"/>
      <c r="E38" s="103"/>
      <c r="F38" s="103"/>
      <c r="G38" s="103"/>
      <c r="AR38">
        <v>0</v>
      </c>
      <c r="AS38">
        <f>AN41</f>
        <v>118.33333333333334</v>
      </c>
    </row>
    <row r="39" spans="1:45" ht="15.75">
      <c r="B39" s="103"/>
      <c r="C39" s="103"/>
      <c r="D39" s="103"/>
      <c r="E39" s="103"/>
      <c r="F39" s="103"/>
      <c r="G39" s="103"/>
      <c r="H39" s="103"/>
      <c r="AM39" s="380" t="s">
        <v>237</v>
      </c>
      <c r="AN39" s="40">
        <f>AO34</f>
        <v>5801.666666666667</v>
      </c>
      <c r="AO39" s="380" t="s">
        <v>22</v>
      </c>
      <c r="AP39" s="39">
        <f>E29</f>
        <v>20</v>
      </c>
    </row>
    <row r="40" spans="1:45" ht="15.75">
      <c r="B40" s="57" t="s">
        <v>476</v>
      </c>
      <c r="C40" s="57"/>
      <c r="D40" s="57"/>
      <c r="E40" s="103"/>
      <c r="F40" s="103"/>
      <c r="G40" s="103"/>
      <c r="H40" s="103"/>
      <c r="AM40" s="39"/>
      <c r="AN40" s="380" t="s">
        <v>222</v>
      </c>
      <c r="AO40" s="39"/>
      <c r="AP40" s="39"/>
      <c r="AQ40" s="90" t="s">
        <v>448</v>
      </c>
      <c r="AR40">
        <f>AN41</f>
        <v>118.33333333333334</v>
      </c>
      <c r="AS40">
        <f>AN41</f>
        <v>118.33333333333334</v>
      </c>
    </row>
    <row r="41" spans="1:45" ht="15.75">
      <c r="B41" s="130" t="s">
        <v>197</v>
      </c>
      <c r="C41" s="103"/>
      <c r="D41" s="103"/>
      <c r="E41" s="130" t="s">
        <v>198</v>
      </c>
      <c r="F41" s="103"/>
      <c r="G41" s="103"/>
      <c r="H41" s="130" t="s">
        <v>199</v>
      </c>
      <c r="AM41" s="380" t="s">
        <v>237</v>
      </c>
      <c r="AN41">
        <f>(AN39/AN37)+AP39</f>
        <v>118.33333333333334</v>
      </c>
      <c r="AR41">
        <v>0</v>
      </c>
      <c r="AS41">
        <f>AN37</f>
        <v>59</v>
      </c>
    </row>
    <row r="42" spans="1:45" ht="15.75">
      <c r="B42" s="150">
        <v>10</v>
      </c>
      <c r="C42" s="130" t="s">
        <v>231</v>
      </c>
      <c r="D42" s="130" t="s">
        <v>22</v>
      </c>
      <c r="E42" s="150">
        <v>6</v>
      </c>
      <c r="F42" s="130" t="s">
        <v>232</v>
      </c>
      <c r="G42" s="130" t="s">
        <v>159</v>
      </c>
      <c r="H42" s="150">
        <v>1200</v>
      </c>
    </row>
    <row r="43" spans="1:45">
      <c r="B43" s="103"/>
      <c r="C43" s="103"/>
      <c r="D43" s="103"/>
      <c r="E43" s="103"/>
      <c r="F43" s="103"/>
      <c r="G43" s="103"/>
      <c r="H43" s="103"/>
      <c r="AM43" s="90" t="s">
        <v>470</v>
      </c>
    </row>
    <row r="44" spans="1:45">
      <c r="B44" s="57" t="s">
        <v>477</v>
      </c>
      <c r="C44" s="57"/>
      <c r="D44" s="57"/>
      <c r="E44" s="57"/>
      <c r="F44" s="103"/>
      <c r="G44" s="103"/>
      <c r="H44" s="103"/>
    </row>
    <row r="45" spans="1:45" ht="15.75">
      <c r="B45" s="103"/>
      <c r="C45" s="103"/>
      <c r="D45" s="103"/>
      <c r="E45" s="103"/>
      <c r="F45" s="103"/>
      <c r="G45" s="103"/>
      <c r="H45" s="103"/>
      <c r="AM45" s="380" t="s">
        <v>241</v>
      </c>
      <c r="AN45">
        <f>$G$25/$A$25*0</f>
        <v>0</v>
      </c>
      <c r="AO45">
        <f>$G$25/$A$25*0.2</f>
        <v>26</v>
      </c>
      <c r="AP45">
        <f>$G$25/$A$25*0.4</f>
        <v>52</v>
      </c>
      <c r="AQ45">
        <f>$G$25/$A$25*0.6</f>
        <v>78</v>
      </c>
      <c r="AR45">
        <f>$G$25/$A$25*0.8</f>
        <v>104</v>
      </c>
      <c r="AS45">
        <f>$G$25/$A$25</f>
        <v>130</v>
      </c>
    </row>
    <row r="46" spans="1:45" ht="16.5">
      <c r="B46" s="82"/>
      <c r="C46" s="130" t="s">
        <v>237</v>
      </c>
      <c r="D46" s="269" t="s">
        <v>238</v>
      </c>
      <c r="E46" s="130" t="s">
        <v>22</v>
      </c>
      <c r="F46" s="82">
        <v>20</v>
      </c>
      <c r="G46" s="103"/>
      <c r="H46" s="103"/>
      <c r="AM46" s="380" t="s">
        <v>242</v>
      </c>
      <c r="AN46">
        <f t="shared" ref="AN46:AS46" si="2">(-$A$25*AN45)/$D$25+($G$25/$D$25)</f>
        <v>216.66666666666666</v>
      </c>
      <c r="AO46">
        <f t="shared" si="2"/>
        <v>173.33333333333331</v>
      </c>
      <c r="AP46">
        <f t="shared" si="2"/>
        <v>130</v>
      </c>
      <c r="AQ46">
        <f t="shared" si="2"/>
        <v>86.666666666666657</v>
      </c>
      <c r="AR46">
        <f t="shared" si="2"/>
        <v>43.333333333333314</v>
      </c>
      <c r="AS46">
        <f t="shared" si="2"/>
        <v>0</v>
      </c>
    </row>
    <row r="47" spans="1:45" ht="15.75">
      <c r="B47" s="82"/>
      <c r="C47" s="82"/>
      <c r="D47" s="130" t="s">
        <v>222</v>
      </c>
      <c r="E47" s="82"/>
      <c r="F47" s="82"/>
      <c r="G47" s="103"/>
      <c r="H47" s="103"/>
    </row>
    <row r="48" spans="1:45">
      <c r="B48" s="102" t="s">
        <v>456</v>
      </c>
      <c r="C48" s="103"/>
      <c r="D48" s="103"/>
      <c r="E48" s="103"/>
      <c r="F48" s="103"/>
      <c r="G48" s="103"/>
      <c r="H48" s="103"/>
      <c r="AM48" s="90" t="s">
        <v>471</v>
      </c>
    </row>
    <row r="49" spans="1:49">
      <c r="B49" s="103"/>
      <c r="C49" s="103"/>
      <c r="D49" s="103"/>
      <c r="E49" s="103"/>
      <c r="F49" s="103"/>
      <c r="G49" s="103"/>
      <c r="H49" s="103"/>
    </row>
    <row r="50" spans="1:49" ht="15.75">
      <c r="B50" s="103"/>
      <c r="C50" s="130" t="s">
        <v>237</v>
      </c>
      <c r="D50" s="270">
        <f>AO61</f>
        <v>4860</v>
      </c>
      <c r="E50" s="130" t="s">
        <v>22</v>
      </c>
      <c r="F50" s="82">
        <f>F46</f>
        <v>20</v>
      </c>
      <c r="G50" s="103"/>
      <c r="H50" s="103"/>
      <c r="AM50" s="380" t="s">
        <v>241</v>
      </c>
      <c r="AN50" s="90">
        <f>$AN$37*0.7</f>
        <v>41.3</v>
      </c>
      <c r="AO50" s="90">
        <f>$AN$37*0.8</f>
        <v>47.2</v>
      </c>
      <c r="AP50" s="90">
        <f>$AN$37*0.9</f>
        <v>53.1</v>
      </c>
      <c r="AQ50" s="1">
        <f>$AN$37</f>
        <v>59</v>
      </c>
      <c r="AR50" s="90">
        <f>$AN$37*1.1</f>
        <v>64.900000000000006</v>
      </c>
      <c r="AS50" s="90">
        <f>$AN$37*1.3</f>
        <v>76.7</v>
      </c>
    </row>
    <row r="51" spans="1:49" ht="15.75">
      <c r="B51" s="103"/>
      <c r="C51" s="82"/>
      <c r="D51" s="130" t="s">
        <v>222</v>
      </c>
      <c r="E51" s="82"/>
      <c r="F51" s="82"/>
      <c r="G51" s="103"/>
      <c r="H51" s="103"/>
      <c r="AM51" s="380" t="s">
        <v>242</v>
      </c>
      <c r="AN51" s="90">
        <f t="shared" ref="AN51:AS51" si="3">($AO$34/AN50)+$E$29</f>
        <v>160.47619047619048</v>
      </c>
      <c r="AO51" s="90">
        <f t="shared" si="3"/>
        <v>142.91666666666669</v>
      </c>
      <c r="AP51" s="90">
        <f t="shared" si="3"/>
        <v>129.25925925925927</v>
      </c>
      <c r="AQ51" s="1">
        <f t="shared" si="3"/>
        <v>118.33333333333334</v>
      </c>
      <c r="AR51" s="90">
        <f t="shared" si="3"/>
        <v>109.39393939393939</v>
      </c>
      <c r="AS51" s="90">
        <f t="shared" si="3"/>
        <v>95.641025641025635</v>
      </c>
    </row>
    <row r="52" spans="1:49">
      <c r="B52" s="102"/>
      <c r="C52" s="103"/>
      <c r="D52" s="103"/>
      <c r="E52" s="103"/>
      <c r="F52" s="103"/>
      <c r="G52" s="103"/>
      <c r="H52" s="103"/>
      <c r="AW52" s="1"/>
    </row>
    <row r="53" spans="1:49">
      <c r="B53" s="129" t="s">
        <v>486</v>
      </c>
      <c r="C53" s="103"/>
      <c r="D53" s="103"/>
      <c r="E53" s="103"/>
      <c r="F53" s="103"/>
      <c r="G53" s="103"/>
      <c r="H53" s="103"/>
      <c r="AW53" s="1"/>
    </row>
    <row r="54" spans="1:49" ht="15.75">
      <c r="B54" s="103"/>
      <c r="C54" s="130" t="s">
        <v>235</v>
      </c>
      <c r="D54" s="129">
        <f>-AO57/(2*AM57)</f>
        <v>54</v>
      </c>
      <c r="E54" s="130" t="s">
        <v>237</v>
      </c>
      <c r="F54" s="172">
        <f>(AN66/AN64)+AP66</f>
        <v>110</v>
      </c>
      <c r="G54" s="103"/>
      <c r="H54" s="103"/>
      <c r="AM54" s="1">
        <v>3</v>
      </c>
    </row>
    <row r="55" spans="1:49">
      <c r="B55" s="103"/>
      <c r="C55" s="103"/>
      <c r="D55" s="103"/>
      <c r="E55" s="103"/>
      <c r="F55" s="103"/>
      <c r="G55" s="103"/>
      <c r="H55" s="103"/>
      <c r="AM55" s="90" t="s">
        <v>472</v>
      </c>
    </row>
    <row r="56" spans="1:49">
      <c r="A56" s="31"/>
      <c r="B56" s="31"/>
      <c r="C56" s="31"/>
      <c r="D56" s="31"/>
      <c r="E56" s="31"/>
      <c r="F56" s="31"/>
      <c r="G56" s="31"/>
    </row>
    <row r="57" spans="1:49" ht="15">
      <c r="A57" s="59"/>
      <c r="B57" s="59"/>
      <c r="C57" s="59"/>
      <c r="D57" s="31"/>
      <c r="E57" s="31"/>
      <c r="F57" s="31"/>
      <c r="G57" s="31"/>
      <c r="AM57" s="39">
        <f>B42</f>
        <v>10</v>
      </c>
      <c r="AN57" s="380" t="s">
        <v>225</v>
      </c>
      <c r="AO57" s="39">
        <f>(-H42+(E42*F46))</f>
        <v>-1080</v>
      </c>
      <c r="AP57" s="380" t="s">
        <v>226</v>
      </c>
      <c r="AQ57" s="39">
        <f>E42</f>
        <v>6</v>
      </c>
      <c r="AR57" s="41" t="s">
        <v>227</v>
      </c>
      <c r="AS57" s="380"/>
    </row>
    <row r="58" spans="1:49">
      <c r="A58" s="402"/>
      <c r="B58" s="31"/>
      <c r="C58" s="31"/>
      <c r="D58" s="402"/>
      <c r="E58" s="31"/>
      <c r="F58" s="31"/>
      <c r="G58" s="402"/>
      <c r="AT58" s="380"/>
      <c r="AU58" s="39"/>
      <c r="AV58" s="380"/>
      <c r="AW58" s="39"/>
    </row>
    <row r="59" spans="1:49" ht="15">
      <c r="A59" s="29"/>
      <c r="B59" s="402"/>
      <c r="C59" s="402"/>
      <c r="D59" s="29"/>
      <c r="E59" s="402"/>
      <c r="F59" s="402"/>
      <c r="G59" s="29"/>
      <c r="AH59" s="41"/>
      <c r="AI59" s="380"/>
      <c r="AM59" s="90" t="s">
        <v>228</v>
      </c>
      <c r="AN59">
        <f>AO57^2</f>
        <v>1166400</v>
      </c>
      <c r="AO59" s="90" t="s">
        <v>229</v>
      </c>
      <c r="AP59">
        <f>4*AM57*AQ57</f>
        <v>240</v>
      </c>
      <c r="AQ59" s="41" t="s">
        <v>230</v>
      </c>
    </row>
    <row r="60" spans="1:49" ht="15">
      <c r="A60" s="430" t="s">
        <v>518</v>
      </c>
      <c r="B60" s="103"/>
      <c r="C60" s="31"/>
      <c r="D60" s="31"/>
      <c r="E60" s="31"/>
      <c r="F60" s="31"/>
      <c r="G60" s="31"/>
      <c r="AU60" s="90"/>
      <c r="AW60" s="41"/>
    </row>
    <row r="61" spans="1:49" ht="15">
      <c r="A61" s="431" t="s">
        <v>510</v>
      </c>
      <c r="B61" s="432"/>
      <c r="C61" s="59"/>
      <c r="D61" s="59"/>
      <c r="E61" s="31"/>
      <c r="F61" s="31"/>
      <c r="G61" s="31"/>
      <c r="AN61" s="41" t="s">
        <v>233</v>
      </c>
      <c r="AO61">
        <f>-(-AO57^2)/-AP59</f>
        <v>4860</v>
      </c>
    </row>
    <row r="62" spans="1:49" ht="15">
      <c r="A62" s="431" t="s">
        <v>511</v>
      </c>
      <c r="B62" s="432"/>
      <c r="C62" s="31"/>
      <c r="D62" s="31"/>
      <c r="E62" s="31"/>
      <c r="F62" s="31"/>
      <c r="G62" s="31"/>
      <c r="AM62" s="90" t="s">
        <v>473</v>
      </c>
      <c r="AT62" s="41"/>
    </row>
    <row r="63" spans="1:49" ht="15">
      <c r="A63" s="431" t="s">
        <v>512</v>
      </c>
      <c r="B63" s="432"/>
      <c r="C63" s="60"/>
      <c r="D63" s="402"/>
      <c r="E63" s="29"/>
      <c r="F63" s="31"/>
      <c r="G63" s="31"/>
    </row>
    <row r="64" spans="1:49" ht="15.75">
      <c r="A64" s="431" t="s">
        <v>513</v>
      </c>
      <c r="B64" s="432"/>
      <c r="C64" s="402"/>
      <c r="D64" s="29"/>
      <c r="E64" s="29"/>
      <c r="F64" s="31"/>
      <c r="G64" s="31"/>
      <c r="AM64" s="380" t="s">
        <v>235</v>
      </c>
      <c r="AN64">
        <f>-AO57/(2*AM57)</f>
        <v>54</v>
      </c>
      <c r="AQ64" s="90" t="s">
        <v>447</v>
      </c>
      <c r="AR64">
        <f>AN64</f>
        <v>54</v>
      </c>
      <c r="AS64">
        <f>AN64</f>
        <v>54</v>
      </c>
    </row>
    <row r="65" spans="1:57">
      <c r="A65" s="431" t="s">
        <v>514</v>
      </c>
      <c r="B65" s="432"/>
      <c r="C65" s="31"/>
      <c r="D65" s="31"/>
      <c r="E65" s="31"/>
      <c r="F65" s="31"/>
      <c r="G65" s="31"/>
      <c r="AR65">
        <v>0</v>
      </c>
      <c r="AS65">
        <f>AN68</f>
        <v>110</v>
      </c>
    </row>
    <row r="66" spans="1:57" ht="15.75">
      <c r="A66" s="431" t="s">
        <v>515</v>
      </c>
      <c r="B66" s="431"/>
      <c r="C66" s="31"/>
      <c r="D66" s="31"/>
      <c r="E66" s="31"/>
      <c r="F66" s="31"/>
      <c r="G66" s="31"/>
      <c r="AM66" s="380" t="s">
        <v>237</v>
      </c>
      <c r="AN66" s="40">
        <f>AO61</f>
        <v>4860</v>
      </c>
      <c r="AO66" s="380" t="s">
        <v>22</v>
      </c>
      <c r="AP66" s="39">
        <f>F46</f>
        <v>20</v>
      </c>
    </row>
    <row r="67" spans="1:57" ht="15.75">
      <c r="A67" s="431" t="s">
        <v>516</v>
      </c>
      <c r="B67" s="431"/>
      <c r="C67" s="61"/>
      <c r="D67" s="402"/>
      <c r="E67" s="62"/>
      <c r="F67" s="31"/>
      <c r="G67" s="31"/>
      <c r="AM67" s="39"/>
      <c r="AN67" s="380" t="s">
        <v>222</v>
      </c>
      <c r="AO67" s="39"/>
      <c r="AP67" s="39"/>
      <c r="AQ67" s="90" t="s">
        <v>448</v>
      </c>
      <c r="AR67">
        <f>AN68</f>
        <v>110</v>
      </c>
      <c r="AS67">
        <f>AN68</f>
        <v>110</v>
      </c>
      <c r="AT67" s="40"/>
      <c r="AU67" s="380"/>
      <c r="AV67" s="39"/>
    </row>
    <row r="68" spans="1:57" ht="15.75">
      <c r="A68" s="431" t="s">
        <v>517</v>
      </c>
      <c r="B68" s="431"/>
      <c r="C68" s="402"/>
      <c r="D68" s="29"/>
      <c r="E68" s="29"/>
      <c r="F68" s="31"/>
      <c r="G68" s="31"/>
      <c r="AM68" s="380" t="s">
        <v>237</v>
      </c>
      <c r="AN68">
        <f>(AN66/AN64)+AP66</f>
        <v>110</v>
      </c>
      <c r="AR68">
        <v>0</v>
      </c>
      <c r="AS68">
        <f>AN64</f>
        <v>54</v>
      </c>
      <c r="AT68" s="380"/>
      <c r="AU68" s="39"/>
      <c r="AV68" s="39"/>
    </row>
    <row r="69" spans="1:57">
      <c r="A69" s="403"/>
      <c r="B69" s="31"/>
      <c r="C69" s="31"/>
      <c r="D69" s="31"/>
      <c r="E69" s="31"/>
      <c r="F69" s="31"/>
      <c r="G69" s="31"/>
    </row>
    <row r="70" spans="1:57">
      <c r="A70" s="63"/>
      <c r="B70" s="31"/>
      <c r="C70" s="31"/>
      <c r="D70" s="31"/>
      <c r="E70" s="31"/>
      <c r="F70" s="31"/>
      <c r="G70" s="31"/>
      <c r="AM70" s="90" t="s">
        <v>474</v>
      </c>
    </row>
    <row r="72" spans="1:57" ht="15.75">
      <c r="AM72" s="380" t="s">
        <v>241</v>
      </c>
      <c r="AN72">
        <f>$H$42/$B$42*0</f>
        <v>0</v>
      </c>
      <c r="AO72">
        <f>$H$42/$B$42*0.2</f>
        <v>24</v>
      </c>
      <c r="AP72">
        <f>$H$42/$B$42*0.4</f>
        <v>48</v>
      </c>
      <c r="AQ72">
        <f>$H$42/$B$42*0.6</f>
        <v>72</v>
      </c>
      <c r="AR72">
        <f>$H$42/$B$42*0.8</f>
        <v>96</v>
      </c>
      <c r="AS72">
        <f>$H$42/$B$42</f>
        <v>120</v>
      </c>
    </row>
    <row r="73" spans="1:57" ht="15.75">
      <c r="AM73" s="380" t="s">
        <v>242</v>
      </c>
      <c r="AN73">
        <f t="shared" ref="AN73:AS73" si="4">(-$B$42*AN72)/$E$42+($H$42/$E$42)</f>
        <v>200</v>
      </c>
      <c r="AO73">
        <f t="shared" si="4"/>
        <v>160</v>
      </c>
      <c r="AP73">
        <f t="shared" si="4"/>
        <v>120</v>
      </c>
      <c r="AQ73">
        <f t="shared" si="4"/>
        <v>80</v>
      </c>
      <c r="AR73">
        <f t="shared" si="4"/>
        <v>40</v>
      </c>
      <c r="AS73">
        <f t="shared" si="4"/>
        <v>0</v>
      </c>
    </row>
    <row r="75" spans="1:57">
      <c r="AM75" s="90" t="s">
        <v>475</v>
      </c>
    </row>
    <row r="77" spans="1:57" ht="15.75">
      <c r="AM77" s="380" t="s">
        <v>241</v>
      </c>
      <c r="AN77" s="90">
        <f>$AN$64*0.7</f>
        <v>37.799999999999997</v>
      </c>
      <c r="AO77" s="90">
        <f>$AN$64*0.8</f>
        <v>43.2</v>
      </c>
      <c r="AP77" s="90">
        <f>$AN$64*0.9</f>
        <v>48.6</v>
      </c>
      <c r="AQ77" s="1">
        <f>$AN$64</f>
        <v>54</v>
      </c>
      <c r="AR77" s="90">
        <f>$AN$64*1.1</f>
        <v>59.400000000000006</v>
      </c>
      <c r="AS77" s="90">
        <f>$AN$64*1.3</f>
        <v>70.2</v>
      </c>
      <c r="AU77" s="1" t="s">
        <v>480</v>
      </c>
      <c r="AY77" s="90" t="s">
        <v>484</v>
      </c>
      <c r="BA77" s="404" t="s">
        <v>269</v>
      </c>
      <c r="BB77" s="90">
        <f>(AW80-AV80)/(AW79-AV79)</f>
        <v>1.6666666666666676</v>
      </c>
      <c r="BC77" s="90" t="s">
        <v>170</v>
      </c>
      <c r="BD77" s="90" t="s">
        <v>22</v>
      </c>
      <c r="BE77">
        <f>-(AW80-AV80)/(AW79-AV79)*AV79+AV80</f>
        <v>19.999999999999957</v>
      </c>
    </row>
    <row r="78" spans="1:57" ht="15.75">
      <c r="AM78" s="380" t="s">
        <v>242</v>
      </c>
      <c r="AN78" s="90">
        <f t="shared" ref="AN78:AS78" si="5">($AO$61/AN77)+$F$46</f>
        <v>148.57142857142858</v>
      </c>
      <c r="AO78" s="90">
        <f t="shared" si="5"/>
        <v>132.5</v>
      </c>
      <c r="AP78" s="90">
        <f t="shared" si="5"/>
        <v>120</v>
      </c>
      <c r="AQ78" s="90">
        <f t="shared" si="5"/>
        <v>110</v>
      </c>
      <c r="AR78" s="90">
        <f t="shared" si="5"/>
        <v>101.81818181818181</v>
      </c>
      <c r="AS78" s="90">
        <f t="shared" si="5"/>
        <v>89.230769230769226</v>
      </c>
      <c r="AU78" s="90" t="s">
        <v>271</v>
      </c>
      <c r="AV78">
        <v>1</v>
      </c>
      <c r="AW78">
        <v>2</v>
      </c>
      <c r="AX78" s="90" t="s">
        <v>272</v>
      </c>
    </row>
    <row r="79" spans="1:57">
      <c r="AS79" s="380"/>
      <c r="AU79" s="380">
        <f>AV79*0.4</f>
        <v>17.600000000000001</v>
      </c>
      <c r="AV79">
        <f>AO84</f>
        <v>44</v>
      </c>
      <c r="AW79">
        <f>AP84</f>
        <v>59</v>
      </c>
      <c r="AX79">
        <f>AW79*1.6</f>
        <v>94.4</v>
      </c>
    </row>
    <row r="80" spans="1:57">
      <c r="AU80" s="380">
        <f>BB77*AU79+BE77</f>
        <v>49.333333333333314</v>
      </c>
      <c r="AV80">
        <f>AO85</f>
        <v>93.333333333333329</v>
      </c>
      <c r="AW80">
        <f>AP85</f>
        <v>118.33333333333334</v>
      </c>
      <c r="AX80">
        <f>BB77*AX79+BE77</f>
        <v>177.33333333333337</v>
      </c>
    </row>
    <row r="81" spans="39:57">
      <c r="AM81" s="1"/>
    </row>
    <row r="82" spans="39:57">
      <c r="AM82" s="1" t="s">
        <v>481</v>
      </c>
      <c r="AU82" s="1" t="s">
        <v>480</v>
      </c>
      <c r="AY82" s="90" t="s">
        <v>484</v>
      </c>
      <c r="BA82" s="404" t="s">
        <v>269</v>
      </c>
      <c r="BB82" s="90">
        <f>(AW85-AV85)/(AW84-AV84)</f>
        <v>1.6666666666666685</v>
      </c>
      <c r="BC82" s="90" t="s">
        <v>170</v>
      </c>
      <c r="BD82" s="90" t="s">
        <v>22</v>
      </c>
      <c r="BE82">
        <f>-(AW85-AV85)/(AW84-AV84)*AV84+AV85</f>
        <v>19.999999999999901</v>
      </c>
    </row>
    <row r="83" spans="39:57">
      <c r="AN83">
        <v>0</v>
      </c>
      <c r="AO83">
        <v>1</v>
      </c>
      <c r="AP83">
        <v>2</v>
      </c>
      <c r="AQ83">
        <v>3</v>
      </c>
      <c r="AR83" t="s">
        <v>273</v>
      </c>
      <c r="AU83" s="90" t="s">
        <v>271</v>
      </c>
      <c r="AV83">
        <v>2</v>
      </c>
      <c r="AW83">
        <v>3</v>
      </c>
      <c r="AX83" s="90" t="s">
        <v>272</v>
      </c>
    </row>
    <row r="84" spans="39:57">
      <c r="AM84" s="90" t="s">
        <v>195</v>
      </c>
      <c r="AN84">
        <f>AO84*0.8</f>
        <v>35.200000000000003</v>
      </c>
      <c r="AO84">
        <f>AN10</f>
        <v>44</v>
      </c>
      <c r="AP84">
        <f>AN37</f>
        <v>59</v>
      </c>
      <c r="AQ84">
        <f>AN64</f>
        <v>54</v>
      </c>
      <c r="AR84">
        <f>AQ84*1.2</f>
        <v>64.8</v>
      </c>
      <c r="AS84" s="380"/>
      <c r="AU84" s="380">
        <f>AV84*0.4</f>
        <v>23.6</v>
      </c>
      <c r="AV84">
        <f>AP84</f>
        <v>59</v>
      </c>
      <c r="AW84">
        <f>AQ84</f>
        <v>54</v>
      </c>
      <c r="AX84">
        <f>AW84*1.6</f>
        <v>86.4</v>
      </c>
    </row>
    <row r="85" spans="39:57">
      <c r="AM85" s="90" t="s">
        <v>196</v>
      </c>
      <c r="AN85">
        <f>AO85*0.8</f>
        <v>74.666666666666671</v>
      </c>
      <c r="AO85">
        <f>AN14</f>
        <v>93.333333333333329</v>
      </c>
      <c r="AP85">
        <f>AN41</f>
        <v>118.33333333333334</v>
      </c>
      <c r="AQ85">
        <f>AN68</f>
        <v>110</v>
      </c>
      <c r="AR85">
        <f>AQ85*1.2</f>
        <v>132</v>
      </c>
      <c r="AU85" s="380">
        <f>BB82*AU84+BE82</f>
        <v>59.333333333333279</v>
      </c>
      <c r="AV85">
        <f>AP85</f>
        <v>118.33333333333334</v>
      </c>
      <c r="AW85">
        <f>AQ85</f>
        <v>110</v>
      </c>
      <c r="AX85">
        <f>BB82*AX84+BE82</f>
        <v>164.00000000000006</v>
      </c>
    </row>
    <row r="87" spans="39:57">
      <c r="AM87" s="1" t="s">
        <v>482</v>
      </c>
    </row>
    <row r="88" spans="39:57">
      <c r="AR88" t="s">
        <v>447</v>
      </c>
    </row>
    <row r="89" spans="39:57">
      <c r="AN89">
        <v>1</v>
      </c>
      <c r="AO89">
        <v>2</v>
      </c>
      <c r="AP89">
        <v>3</v>
      </c>
      <c r="AR89">
        <v>1</v>
      </c>
      <c r="AT89">
        <v>2</v>
      </c>
      <c r="AV89">
        <v>3</v>
      </c>
    </row>
    <row r="90" spans="39:57" ht="15.75">
      <c r="AM90" s="380" t="s">
        <v>241</v>
      </c>
      <c r="AN90">
        <f>AO84</f>
        <v>44</v>
      </c>
      <c r="AO90">
        <f>AP84</f>
        <v>59</v>
      </c>
      <c r="AP90">
        <f>AQ84</f>
        <v>54</v>
      </c>
      <c r="AR90">
        <f>AN90</f>
        <v>44</v>
      </c>
      <c r="AS90">
        <f>AN90</f>
        <v>44</v>
      </c>
      <c r="AT90">
        <f>AO90</f>
        <v>59</v>
      </c>
      <c r="AU90">
        <f>AO90</f>
        <v>59</v>
      </c>
      <c r="AV90">
        <f>AP90</f>
        <v>54</v>
      </c>
      <c r="AW90">
        <f>AP90</f>
        <v>54</v>
      </c>
    </row>
    <row r="91" spans="39:57">
      <c r="AM91" t="s">
        <v>278</v>
      </c>
      <c r="AN91">
        <f>B8</f>
        <v>10</v>
      </c>
      <c r="AO91">
        <f>A25</f>
        <v>10</v>
      </c>
      <c r="AP91">
        <f>B42</f>
        <v>10</v>
      </c>
      <c r="AR91">
        <v>0</v>
      </c>
      <c r="AS91">
        <f>AN91</f>
        <v>10</v>
      </c>
      <c r="AT91">
        <v>0</v>
      </c>
      <c r="AU91">
        <f>AO91</f>
        <v>10</v>
      </c>
      <c r="AV91">
        <v>0</v>
      </c>
      <c r="AW91">
        <f>AP91</f>
        <v>10</v>
      </c>
    </row>
    <row r="93" spans="39:57">
      <c r="AM93" s="380"/>
      <c r="AN93" s="40"/>
      <c r="AO93" s="380"/>
      <c r="AP93" s="39"/>
      <c r="AR93" s="90" t="s">
        <v>448</v>
      </c>
    </row>
    <row r="94" spans="39:57">
      <c r="AM94" s="39"/>
      <c r="AN94" s="380"/>
      <c r="AO94" s="39"/>
      <c r="AP94" s="39"/>
      <c r="AQ94" s="90"/>
      <c r="AR94">
        <v>1</v>
      </c>
      <c r="AT94">
        <v>2</v>
      </c>
      <c r="AV94">
        <v>3</v>
      </c>
    </row>
    <row r="95" spans="39:57">
      <c r="AM95" s="380"/>
      <c r="AR95">
        <f>AN95</f>
        <v>0</v>
      </c>
      <c r="AS95">
        <f>AN90</f>
        <v>44</v>
      </c>
      <c r="AT95">
        <f>AO95</f>
        <v>0</v>
      </c>
      <c r="AU95">
        <f>AO90</f>
        <v>59</v>
      </c>
      <c r="AV95">
        <f>AP95</f>
        <v>0</v>
      </c>
      <c r="AW95">
        <f>AP90</f>
        <v>54</v>
      </c>
    </row>
    <row r="96" spans="39:57">
      <c r="AR96">
        <f>AN91</f>
        <v>10</v>
      </c>
      <c r="AS96">
        <f>AN91</f>
        <v>10</v>
      </c>
      <c r="AT96">
        <f>AO91</f>
        <v>10</v>
      </c>
      <c r="AU96">
        <f>AO91</f>
        <v>10</v>
      </c>
      <c r="AV96">
        <f>AP91</f>
        <v>10</v>
      </c>
      <c r="AW96">
        <f>AP91</f>
        <v>10</v>
      </c>
    </row>
    <row r="97" spans="39:45">
      <c r="AM97" s="90"/>
    </row>
    <row r="98" spans="39:45">
      <c r="AM98" s="1" t="s">
        <v>483</v>
      </c>
    </row>
    <row r="99" spans="39:45">
      <c r="AM99" s="380"/>
    </row>
    <row r="100" spans="39:45">
      <c r="AN100">
        <v>1</v>
      </c>
      <c r="AO100">
        <v>2</v>
      </c>
      <c r="AP100">
        <v>3</v>
      </c>
    </row>
    <row r="101" spans="39:45">
      <c r="AM101" s="380" t="s">
        <v>196</v>
      </c>
      <c r="AN101" s="34">
        <f>F20</f>
        <v>93.333333333333329</v>
      </c>
      <c r="AO101" s="34">
        <f>E37</f>
        <v>118.33333333333334</v>
      </c>
      <c r="AP101" s="34">
        <f>F54</f>
        <v>110</v>
      </c>
    </row>
    <row r="102" spans="39:45">
      <c r="AM102" s="39" t="s">
        <v>280</v>
      </c>
      <c r="AN102">
        <f>E8</f>
        <v>6</v>
      </c>
      <c r="AO102">
        <f>D25</f>
        <v>6</v>
      </c>
      <c r="AP102">
        <f>E42</f>
        <v>6</v>
      </c>
    </row>
    <row r="103" spans="39:45">
      <c r="AM103" s="90"/>
    </row>
    <row r="104" spans="39:45">
      <c r="AM104" s="380"/>
      <c r="AN104" s="90"/>
      <c r="AO104" s="90"/>
      <c r="AP104" s="90"/>
      <c r="AQ104" s="1"/>
      <c r="AR104" s="90"/>
      <c r="AS104" s="90"/>
    </row>
    <row r="105" spans="39:45">
      <c r="AM105" s="380"/>
      <c r="AN105" s="90"/>
      <c r="AO105" s="90"/>
      <c r="AP105" s="90"/>
      <c r="AQ105" s="90"/>
      <c r="AR105" s="90"/>
      <c r="AS105" s="90"/>
    </row>
    <row r="109" spans="39:45">
      <c r="AM109" s="90"/>
    </row>
    <row r="111" spans="39:45">
      <c r="AM111" s="90"/>
    </row>
    <row r="112" spans="39:45">
      <c r="AM112" s="9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C120"/>
  <sheetViews>
    <sheetView topLeftCell="A35" zoomScale="60" zoomScaleNormal="60" workbookViewId="0">
      <selection activeCell="A62" sqref="A62:B70"/>
    </sheetView>
  </sheetViews>
  <sheetFormatPr defaultRowHeight="12.75"/>
  <cols>
    <col min="8" max="8" width="11" customWidth="1"/>
    <col min="12" max="12" width="10.7109375" bestFit="1" customWidth="1"/>
    <col min="14" max="14" width="14.42578125" bestFit="1" customWidth="1"/>
    <col min="16" max="16" width="15" bestFit="1" customWidth="1"/>
    <col min="19" max="19" width="15.28515625" customWidth="1"/>
    <col min="45" max="45" width="10" bestFit="1" customWidth="1"/>
  </cols>
  <sheetData>
    <row r="1" spans="2:49" ht="18">
      <c r="B1" s="103"/>
      <c r="C1" s="103"/>
      <c r="D1" s="103"/>
      <c r="E1" s="129"/>
      <c r="F1" s="129" t="s">
        <v>112</v>
      </c>
      <c r="G1" s="151"/>
      <c r="H1" s="151"/>
      <c r="I1" s="151"/>
      <c r="J1" s="151"/>
      <c r="K1" s="151"/>
      <c r="L1" s="151"/>
      <c r="M1" s="152"/>
      <c r="N1" s="103"/>
      <c r="O1" s="102" t="s">
        <v>1</v>
      </c>
      <c r="P1" s="103"/>
      <c r="Q1" s="103"/>
      <c r="R1" s="103"/>
      <c r="S1" s="103"/>
      <c r="T1" s="103"/>
      <c r="U1" s="103"/>
      <c r="V1" s="103"/>
      <c r="W1" s="103"/>
      <c r="AL1" s="66">
        <v>1</v>
      </c>
      <c r="AM1" s="90" t="s">
        <v>224</v>
      </c>
    </row>
    <row r="2" spans="2:49" ht="15">
      <c r="B2" s="103"/>
      <c r="C2" s="103"/>
      <c r="D2" s="103"/>
      <c r="E2" s="151" t="s">
        <v>334</v>
      </c>
      <c r="F2" s="103"/>
      <c r="G2" s="151"/>
      <c r="H2" s="151"/>
      <c r="I2" s="151"/>
      <c r="J2" s="151"/>
      <c r="K2" s="152"/>
      <c r="L2" s="152"/>
      <c r="M2" s="152"/>
      <c r="N2" s="103"/>
      <c r="O2" s="102" t="s">
        <v>43</v>
      </c>
      <c r="P2" s="103"/>
      <c r="Q2" s="103"/>
      <c r="R2" s="103"/>
      <c r="S2" s="103"/>
      <c r="T2" s="103"/>
      <c r="U2" s="103"/>
      <c r="V2" s="103"/>
      <c r="W2" s="103"/>
    </row>
    <row r="3" spans="2:49" ht="15">
      <c r="B3" s="154" t="s">
        <v>5</v>
      </c>
      <c r="C3" s="103"/>
      <c r="D3" s="103"/>
      <c r="E3" s="103"/>
      <c r="F3" s="129" t="s">
        <v>335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AM3" s="39">
        <f>B8</f>
        <v>24</v>
      </c>
      <c r="AN3" s="380" t="s">
        <v>225</v>
      </c>
      <c r="AO3" s="39">
        <f>(-H8+(E8*F12))</f>
        <v>-1080</v>
      </c>
      <c r="AP3" s="380" t="s">
        <v>226</v>
      </c>
      <c r="AQ3" s="39">
        <f>E8</f>
        <v>12</v>
      </c>
      <c r="AR3" s="41" t="s">
        <v>227</v>
      </c>
      <c r="AS3" s="380"/>
    </row>
    <row r="4" spans="2:49">
      <c r="AW4" s="39"/>
    </row>
    <row r="5" spans="2:49" ht="15">
      <c r="B5" s="103"/>
      <c r="C5" s="103"/>
      <c r="D5" s="103"/>
      <c r="E5" s="103"/>
      <c r="F5" s="103"/>
      <c r="G5" s="103"/>
      <c r="H5" s="103"/>
      <c r="AH5" s="41"/>
      <c r="AI5" s="380"/>
      <c r="AM5" s="90" t="s">
        <v>228</v>
      </c>
      <c r="AN5">
        <f>AO3^2</f>
        <v>1166400</v>
      </c>
      <c r="AO5" s="90" t="s">
        <v>229</v>
      </c>
      <c r="AP5">
        <f>4*AM3*AQ3</f>
        <v>1152</v>
      </c>
      <c r="AQ5" s="41" t="s">
        <v>230</v>
      </c>
    </row>
    <row r="6" spans="2:49" ht="15">
      <c r="B6" s="405" t="s">
        <v>429</v>
      </c>
      <c r="C6" s="65"/>
      <c r="D6" s="65"/>
      <c r="E6" s="103"/>
      <c r="F6" s="103"/>
      <c r="G6" s="103"/>
      <c r="H6" s="103"/>
      <c r="AW6" s="41"/>
    </row>
    <row r="7" spans="2:49" ht="16.5">
      <c r="B7" s="130" t="s">
        <v>197</v>
      </c>
      <c r="C7" s="103"/>
      <c r="D7" s="103"/>
      <c r="E7" s="130" t="s">
        <v>198</v>
      </c>
      <c r="F7" s="103"/>
      <c r="G7" s="103"/>
      <c r="H7" s="130" t="s">
        <v>199</v>
      </c>
      <c r="AN7" s="41" t="s">
        <v>233</v>
      </c>
      <c r="AO7">
        <f>-(-AO3^2)/-AP5</f>
        <v>1012.5</v>
      </c>
    </row>
    <row r="8" spans="2:49" ht="15.75">
      <c r="B8" s="150">
        <v>24</v>
      </c>
      <c r="C8" s="130" t="s">
        <v>231</v>
      </c>
      <c r="D8" s="130" t="s">
        <v>22</v>
      </c>
      <c r="E8" s="150">
        <v>12</v>
      </c>
      <c r="F8" s="130" t="s">
        <v>232</v>
      </c>
      <c r="G8" s="130" t="s">
        <v>159</v>
      </c>
      <c r="H8" s="150">
        <v>1200</v>
      </c>
      <c r="AM8" s="90" t="s">
        <v>234</v>
      </c>
    </row>
    <row r="9" spans="2:49">
      <c r="B9" s="103"/>
      <c r="C9" s="103"/>
      <c r="D9" s="103"/>
      <c r="E9" s="103"/>
      <c r="F9" s="103"/>
      <c r="G9" s="103"/>
      <c r="H9" s="103"/>
    </row>
    <row r="10" spans="2:49" ht="15.75">
      <c r="B10" s="405" t="s">
        <v>502</v>
      </c>
      <c r="C10" s="65"/>
      <c r="D10" s="65"/>
      <c r="E10" s="65"/>
      <c r="F10" s="103"/>
      <c r="G10" s="103"/>
      <c r="H10" s="103"/>
      <c r="AM10" s="380" t="s">
        <v>235</v>
      </c>
      <c r="AN10">
        <f>-AO3/(2*AM3)</f>
        <v>22.5</v>
      </c>
      <c r="AQ10" s="90" t="s">
        <v>236</v>
      </c>
      <c r="AR10">
        <f>AN10</f>
        <v>22.5</v>
      </c>
      <c r="AS10">
        <f>AN10</f>
        <v>22.5</v>
      </c>
    </row>
    <row r="11" spans="2:49">
      <c r="B11" s="103"/>
      <c r="C11" s="103"/>
      <c r="D11" s="103"/>
      <c r="E11" s="103"/>
      <c r="F11" s="103"/>
      <c r="G11" s="103"/>
      <c r="H11" s="103"/>
      <c r="AR11">
        <v>0</v>
      </c>
      <c r="AS11">
        <f>AN14</f>
        <v>55</v>
      </c>
    </row>
    <row r="12" spans="2:49" ht="16.5">
      <c r="B12" s="82"/>
      <c r="C12" s="130" t="s">
        <v>237</v>
      </c>
      <c r="D12" s="269" t="s">
        <v>238</v>
      </c>
      <c r="E12" s="130" t="s">
        <v>22</v>
      </c>
      <c r="F12" s="150">
        <v>10</v>
      </c>
      <c r="G12" s="103"/>
      <c r="H12" s="103"/>
      <c r="AM12" s="380" t="s">
        <v>237</v>
      </c>
      <c r="AN12" s="40">
        <f>AO7</f>
        <v>1012.5</v>
      </c>
      <c r="AO12" s="380" t="s">
        <v>22</v>
      </c>
      <c r="AP12" s="39">
        <f>F12</f>
        <v>10</v>
      </c>
    </row>
    <row r="13" spans="2:49" ht="15.75">
      <c r="B13" s="82"/>
      <c r="C13" s="82"/>
      <c r="D13" s="130" t="s">
        <v>222</v>
      </c>
      <c r="E13" s="82"/>
      <c r="F13" s="82"/>
      <c r="G13" s="103"/>
      <c r="H13" s="103"/>
      <c r="AM13" s="39"/>
      <c r="AN13" s="380" t="s">
        <v>222</v>
      </c>
      <c r="AO13" s="39"/>
      <c r="AP13" s="39"/>
      <c r="AQ13" s="90" t="s">
        <v>239</v>
      </c>
      <c r="AR13">
        <f>AN14</f>
        <v>55</v>
      </c>
      <c r="AS13">
        <f>AN14</f>
        <v>55</v>
      </c>
    </row>
    <row r="14" spans="2:49" ht="15.75">
      <c r="B14" s="102" t="s">
        <v>489</v>
      </c>
      <c r="C14" s="103"/>
      <c r="D14" s="103"/>
      <c r="E14" s="103"/>
      <c r="F14" s="103"/>
      <c r="G14" s="103"/>
      <c r="H14" s="103"/>
      <c r="AM14" s="380" t="s">
        <v>237</v>
      </c>
      <c r="AN14">
        <f>(AN12/AN10)+AP12</f>
        <v>55</v>
      </c>
      <c r="AR14">
        <v>0</v>
      </c>
      <c r="AS14">
        <f>AN10</f>
        <v>22.5</v>
      </c>
    </row>
    <row r="15" spans="2:49" ht="15">
      <c r="B15" s="103"/>
      <c r="C15" s="103"/>
      <c r="D15" s="103"/>
      <c r="E15" s="103"/>
      <c r="F15" s="103"/>
      <c r="G15" s="103"/>
      <c r="H15" s="274" t="s">
        <v>338</v>
      </c>
    </row>
    <row r="16" spans="2:49" ht="15.75">
      <c r="B16" s="103"/>
      <c r="C16" s="130" t="s">
        <v>237</v>
      </c>
      <c r="D16" s="270">
        <f>AO7</f>
        <v>1012.5</v>
      </c>
      <c r="E16" s="130" t="s">
        <v>22</v>
      </c>
      <c r="F16" s="82">
        <f>F12</f>
        <v>10</v>
      </c>
      <c r="G16" s="103"/>
      <c r="H16" s="103"/>
      <c r="AM16" s="1" t="s">
        <v>240</v>
      </c>
    </row>
    <row r="17" spans="1:49" ht="15.75">
      <c r="B17" s="103"/>
      <c r="C17" s="82"/>
      <c r="D17" s="130" t="s">
        <v>222</v>
      </c>
      <c r="E17" s="82"/>
      <c r="F17" s="82"/>
      <c r="G17" s="103"/>
      <c r="H17" s="103"/>
      <c r="I17" s="24"/>
      <c r="J17" s="24"/>
      <c r="K17" s="24"/>
      <c r="L17" s="24"/>
      <c r="M17" s="24"/>
      <c r="N17" s="24"/>
      <c r="O17" s="24"/>
    </row>
    <row r="18" spans="1:49" ht="15.75">
      <c r="B18" s="102"/>
      <c r="C18" s="103"/>
      <c r="D18" s="103"/>
      <c r="E18" s="103"/>
      <c r="F18" s="103"/>
      <c r="G18" s="103"/>
      <c r="H18" s="103"/>
      <c r="I18" s="24"/>
      <c r="J18" s="24"/>
      <c r="K18" s="24"/>
      <c r="L18" s="24"/>
      <c r="M18" s="24"/>
      <c r="N18" s="24"/>
      <c r="O18" s="24"/>
      <c r="AM18" s="380" t="s">
        <v>241</v>
      </c>
      <c r="AN18">
        <f>$H$8/$B$8*0</f>
        <v>0</v>
      </c>
      <c r="AO18">
        <f>$H$8/$B$8*0.2</f>
        <v>10</v>
      </c>
      <c r="AP18">
        <f>$H$8/$B$8*0.4</f>
        <v>20</v>
      </c>
      <c r="AQ18">
        <f>$H$8/$B$8*0.6</f>
        <v>30</v>
      </c>
      <c r="AR18">
        <f>$H$8/$B$8*0.8</f>
        <v>40</v>
      </c>
      <c r="AS18">
        <f>$H$8/$B$8</f>
        <v>50</v>
      </c>
    </row>
    <row r="19" spans="1:49" ht="15.75">
      <c r="B19" s="129" t="s">
        <v>487</v>
      </c>
      <c r="C19" s="103"/>
      <c r="D19" s="103"/>
      <c r="E19" s="103"/>
      <c r="F19" s="103"/>
      <c r="G19" s="103"/>
      <c r="H19" s="103"/>
      <c r="AM19" s="380" t="s">
        <v>242</v>
      </c>
      <c r="AN19">
        <f t="shared" ref="AN19:AS19" si="0">(-$B$8*AN18)/$E$8+($H$8/$E$8)</f>
        <v>100</v>
      </c>
      <c r="AO19">
        <f t="shared" si="0"/>
        <v>80</v>
      </c>
      <c r="AP19">
        <f t="shared" si="0"/>
        <v>60</v>
      </c>
      <c r="AQ19">
        <f t="shared" si="0"/>
        <v>40</v>
      </c>
      <c r="AR19">
        <f t="shared" si="0"/>
        <v>20</v>
      </c>
      <c r="AS19">
        <f t="shared" si="0"/>
        <v>0</v>
      </c>
    </row>
    <row r="20" spans="1:49" ht="15.75">
      <c r="A20" s="24"/>
      <c r="B20" s="103"/>
      <c r="C20" s="130" t="s">
        <v>235</v>
      </c>
      <c r="D20" s="129">
        <f>-AO3/(2*AM3)</f>
        <v>22.5</v>
      </c>
      <c r="E20" s="130" t="s">
        <v>237</v>
      </c>
      <c r="F20" s="172">
        <f>(AN12/AN10)+AP12</f>
        <v>55</v>
      </c>
      <c r="G20" s="103"/>
      <c r="H20" s="103"/>
    </row>
    <row r="21" spans="1:49">
      <c r="B21" s="130"/>
      <c r="C21" s="103"/>
      <c r="D21" s="103"/>
      <c r="E21" s="130"/>
      <c r="F21" s="103"/>
      <c r="G21" s="103"/>
      <c r="H21" s="103"/>
      <c r="AM21" s="1" t="s">
        <v>243</v>
      </c>
    </row>
    <row r="22" spans="1:49">
      <c r="A22" s="103"/>
      <c r="B22" s="103"/>
      <c r="C22" s="103"/>
      <c r="D22" s="103"/>
      <c r="E22" s="103"/>
      <c r="F22" s="103"/>
      <c r="G22" s="103"/>
    </row>
    <row r="23" spans="1:49" ht="15.75">
      <c r="A23" s="407" t="s">
        <v>433</v>
      </c>
      <c r="B23" s="56"/>
      <c r="C23" s="56"/>
      <c r="D23" s="103"/>
      <c r="E23" s="103"/>
      <c r="F23" s="103"/>
      <c r="G23" s="103"/>
      <c r="AM23" s="380" t="s">
        <v>241</v>
      </c>
      <c r="AN23">
        <f>$AN$10*0.7</f>
        <v>15.749999999999998</v>
      </c>
      <c r="AO23">
        <f>$AN$10*0.8</f>
        <v>18</v>
      </c>
      <c r="AP23">
        <f>$AN$10*0.9</f>
        <v>20.25</v>
      </c>
      <c r="AQ23" s="1">
        <f>$AN$10</f>
        <v>22.5</v>
      </c>
      <c r="AR23">
        <f>$AN$10*1.1</f>
        <v>24.750000000000004</v>
      </c>
      <c r="AS23">
        <f>$AN$10*1.3</f>
        <v>29.25</v>
      </c>
    </row>
    <row r="24" spans="1:49" ht="15.75">
      <c r="A24" s="130" t="s">
        <v>197</v>
      </c>
      <c r="B24" s="103"/>
      <c r="C24" s="103"/>
      <c r="D24" s="130" t="s">
        <v>198</v>
      </c>
      <c r="E24" s="103"/>
      <c r="F24" s="103"/>
      <c r="G24" s="130" t="s">
        <v>199</v>
      </c>
      <c r="AM24" s="380" t="s">
        <v>242</v>
      </c>
      <c r="AN24">
        <f t="shared" ref="AN24:AS24" si="1">($AO$7/AN23)+$F$12</f>
        <v>74.285714285714292</v>
      </c>
      <c r="AO24">
        <f t="shared" si="1"/>
        <v>66.25</v>
      </c>
      <c r="AP24">
        <f t="shared" si="1"/>
        <v>60</v>
      </c>
      <c r="AQ24" s="1">
        <f t="shared" si="1"/>
        <v>55</v>
      </c>
      <c r="AR24">
        <f t="shared" si="1"/>
        <v>50.909090909090907</v>
      </c>
      <c r="AS24">
        <f t="shared" si="1"/>
        <v>44.615384615384613</v>
      </c>
      <c r="AW24" s="1"/>
    </row>
    <row r="25" spans="1:49" ht="15.75">
      <c r="A25" s="150">
        <v>20</v>
      </c>
      <c r="B25" s="130" t="s">
        <v>231</v>
      </c>
      <c r="C25" s="130" t="s">
        <v>22</v>
      </c>
      <c r="D25" s="150">
        <v>12</v>
      </c>
      <c r="E25" s="130" t="s">
        <v>232</v>
      </c>
      <c r="F25" s="130" t="s">
        <v>159</v>
      </c>
      <c r="G25" s="150">
        <v>1200</v>
      </c>
      <c r="AW25" s="1"/>
    </row>
    <row r="26" spans="1:49">
      <c r="A26" s="103"/>
      <c r="B26" s="103"/>
      <c r="C26" s="103"/>
      <c r="D26" s="103"/>
      <c r="E26" s="103"/>
      <c r="F26" s="103"/>
      <c r="G26" s="103"/>
    </row>
    <row r="27" spans="1:49" ht="18">
      <c r="A27" s="407" t="s">
        <v>503</v>
      </c>
      <c r="B27" s="56"/>
      <c r="C27" s="56"/>
      <c r="D27" s="56"/>
      <c r="E27" s="103"/>
      <c r="F27" s="103"/>
      <c r="G27" s="103"/>
      <c r="AM27" s="66">
        <v>2</v>
      </c>
    </row>
    <row r="28" spans="1:49">
      <c r="A28" s="103"/>
      <c r="B28" s="103"/>
      <c r="C28" s="103"/>
      <c r="D28" s="103"/>
      <c r="E28" s="103"/>
      <c r="F28" s="103"/>
      <c r="G28" s="103"/>
      <c r="AM28" s="90" t="s">
        <v>244</v>
      </c>
    </row>
    <row r="29" spans="1:49" ht="16.5">
      <c r="A29" s="82"/>
      <c r="B29" s="130" t="s">
        <v>237</v>
      </c>
      <c r="C29" s="269" t="s">
        <v>238</v>
      </c>
      <c r="D29" s="130" t="s">
        <v>22</v>
      </c>
      <c r="E29" s="82">
        <v>8</v>
      </c>
      <c r="F29" s="103"/>
      <c r="G29" s="103"/>
    </row>
    <row r="30" spans="1:49" ht="16.5">
      <c r="A30" s="82"/>
      <c r="B30" s="82"/>
      <c r="C30" s="130" t="s">
        <v>222</v>
      </c>
      <c r="D30" s="82"/>
      <c r="E30" s="82"/>
      <c r="F30" s="103"/>
      <c r="G30" s="103"/>
      <c r="AM30" s="39">
        <f>A25</f>
        <v>20</v>
      </c>
      <c r="AN30" s="380" t="s">
        <v>225</v>
      </c>
      <c r="AO30" s="39">
        <f>(-G25+(D25*E29))</f>
        <v>-1104</v>
      </c>
      <c r="AP30" s="380" t="s">
        <v>226</v>
      </c>
      <c r="AQ30" s="39">
        <f>D25</f>
        <v>12</v>
      </c>
      <c r="AR30" s="41" t="s">
        <v>227</v>
      </c>
      <c r="AS30" s="380"/>
    </row>
    <row r="31" spans="1:49">
      <c r="A31" s="102" t="s">
        <v>488</v>
      </c>
      <c r="B31" s="103"/>
      <c r="C31" s="103"/>
      <c r="D31" s="103"/>
      <c r="E31" s="103"/>
      <c r="F31" s="103"/>
      <c r="G31" s="103"/>
    </row>
    <row r="32" spans="1:49" ht="15">
      <c r="A32" s="103"/>
      <c r="B32" s="103"/>
      <c r="C32" s="103"/>
      <c r="D32" s="103"/>
      <c r="E32" s="103"/>
      <c r="F32" s="103"/>
      <c r="G32" s="103"/>
      <c r="AM32" s="90" t="s">
        <v>228</v>
      </c>
      <c r="AN32">
        <f>AO30^2</f>
        <v>1218816</v>
      </c>
      <c r="AO32" s="90" t="s">
        <v>229</v>
      </c>
      <c r="AP32">
        <f>4*AM30*AQ30</f>
        <v>960</v>
      </c>
      <c r="AQ32" s="41" t="s">
        <v>230</v>
      </c>
      <c r="AW32" s="39"/>
    </row>
    <row r="33" spans="1:45" ht="16.5">
      <c r="A33" s="103"/>
      <c r="B33" s="130" t="s">
        <v>237</v>
      </c>
      <c r="C33" s="270">
        <f>AO34</f>
        <v>1269.5999999999999</v>
      </c>
      <c r="D33" s="130" t="s">
        <v>22</v>
      </c>
      <c r="E33" s="82">
        <f>E29</f>
        <v>8</v>
      </c>
      <c r="F33" s="103"/>
      <c r="G33" s="103"/>
      <c r="AH33" s="41"/>
      <c r="AI33" s="380"/>
    </row>
    <row r="34" spans="1:45" ht="16.5">
      <c r="A34" s="103"/>
      <c r="B34" s="82"/>
      <c r="C34" s="130" t="s">
        <v>222</v>
      </c>
      <c r="D34" s="82"/>
      <c r="E34" s="82"/>
      <c r="F34" s="103"/>
      <c r="G34" s="103"/>
      <c r="AN34" s="41" t="s">
        <v>233</v>
      </c>
      <c r="AO34">
        <f>-(-AO30^2)/-AP32</f>
        <v>1269.5999999999999</v>
      </c>
    </row>
    <row r="35" spans="1:45">
      <c r="A35" s="102"/>
      <c r="B35" s="103"/>
      <c r="C35" s="103"/>
      <c r="D35" s="103"/>
      <c r="E35" s="103"/>
      <c r="F35" s="103"/>
      <c r="G35" s="103"/>
      <c r="AM35" s="90" t="s">
        <v>245</v>
      </c>
    </row>
    <row r="36" spans="1:45">
      <c r="A36" s="129" t="s">
        <v>490</v>
      </c>
      <c r="B36" s="103"/>
      <c r="C36" s="103"/>
      <c r="D36" s="103"/>
      <c r="E36" s="103"/>
      <c r="F36" s="103"/>
      <c r="G36" s="103"/>
    </row>
    <row r="37" spans="1:45" ht="15.75">
      <c r="A37" s="103"/>
      <c r="B37" s="130" t="s">
        <v>235</v>
      </c>
      <c r="C37" s="129">
        <f>-AO30/(2*AM30)</f>
        <v>27.6</v>
      </c>
      <c r="D37" s="130" t="s">
        <v>237</v>
      </c>
      <c r="E37" s="172">
        <f>(AN39/AN37)+AP39</f>
        <v>53.999999999999993</v>
      </c>
      <c r="F37" s="103"/>
      <c r="G37" s="103"/>
      <c r="AM37" s="380" t="s">
        <v>235</v>
      </c>
      <c r="AN37">
        <f>-AO30/(2*AM30)</f>
        <v>27.6</v>
      </c>
      <c r="AQ37" s="90" t="s">
        <v>236</v>
      </c>
      <c r="AR37">
        <f>AN37</f>
        <v>27.6</v>
      </c>
      <c r="AS37">
        <f>AN37</f>
        <v>27.6</v>
      </c>
    </row>
    <row r="38" spans="1:45">
      <c r="A38" s="103"/>
      <c r="B38" s="103"/>
      <c r="C38" s="103"/>
      <c r="D38" s="103"/>
      <c r="E38" s="103"/>
      <c r="F38" s="103"/>
      <c r="G38" s="103"/>
      <c r="AR38">
        <v>0</v>
      </c>
      <c r="AS38">
        <f>AN41</f>
        <v>53.999999999999993</v>
      </c>
    </row>
    <row r="39" spans="1:45" ht="15.75">
      <c r="B39" s="103"/>
      <c r="C39" s="103"/>
      <c r="D39" s="103"/>
      <c r="E39" s="103"/>
      <c r="F39" s="103"/>
      <c r="G39" s="103"/>
      <c r="H39" s="103"/>
      <c r="AM39" s="380" t="s">
        <v>237</v>
      </c>
      <c r="AN39" s="40">
        <f>AO34</f>
        <v>1269.5999999999999</v>
      </c>
      <c r="AO39" s="380" t="s">
        <v>22</v>
      </c>
      <c r="AP39" s="39">
        <f>E29</f>
        <v>8</v>
      </c>
    </row>
    <row r="40" spans="1:45" ht="15.75">
      <c r="B40" s="57" t="s">
        <v>476</v>
      </c>
      <c r="C40" s="57"/>
      <c r="D40" s="57"/>
      <c r="E40" s="103"/>
      <c r="F40" s="103"/>
      <c r="G40" s="103"/>
      <c r="H40" s="103"/>
      <c r="AM40" s="39"/>
      <c r="AN40" s="380" t="s">
        <v>222</v>
      </c>
      <c r="AO40" s="39"/>
      <c r="AP40" s="39"/>
      <c r="AQ40" s="90" t="s">
        <v>239</v>
      </c>
      <c r="AR40">
        <f>AN41</f>
        <v>53.999999999999993</v>
      </c>
      <c r="AS40">
        <f>AN41</f>
        <v>53.999999999999993</v>
      </c>
    </row>
    <row r="41" spans="1:45" ht="15.75">
      <c r="B41" s="130" t="s">
        <v>197</v>
      </c>
      <c r="C41" s="103"/>
      <c r="D41" s="103"/>
      <c r="E41" s="130" t="s">
        <v>198</v>
      </c>
      <c r="F41" s="103"/>
      <c r="G41" s="103"/>
      <c r="H41" s="130" t="s">
        <v>199</v>
      </c>
      <c r="N41" s="274" t="s">
        <v>338</v>
      </c>
      <c r="AM41" s="380" t="s">
        <v>237</v>
      </c>
      <c r="AN41">
        <f>(AN39/AN37)+AP39</f>
        <v>53.999999999999993</v>
      </c>
      <c r="AR41">
        <v>0</v>
      </c>
      <c r="AS41">
        <f>AN37</f>
        <v>27.6</v>
      </c>
    </row>
    <row r="42" spans="1:45" ht="15.75">
      <c r="B42" s="150">
        <v>20</v>
      </c>
      <c r="C42" s="130" t="s">
        <v>231</v>
      </c>
      <c r="D42" s="130" t="s">
        <v>22</v>
      </c>
      <c r="E42" s="150">
        <v>12</v>
      </c>
      <c r="F42" s="130" t="s">
        <v>232</v>
      </c>
      <c r="G42" s="130" t="s">
        <v>159</v>
      </c>
      <c r="H42" s="150">
        <v>1105</v>
      </c>
    </row>
    <row r="43" spans="1:45" ht="18">
      <c r="B43" s="103"/>
      <c r="C43" s="103"/>
      <c r="D43" s="103"/>
      <c r="E43" s="103"/>
      <c r="F43" s="103"/>
      <c r="G43" s="103"/>
      <c r="H43" s="103"/>
      <c r="J43" s="82"/>
      <c r="K43" s="82"/>
      <c r="L43" s="275" t="s">
        <v>281</v>
      </c>
      <c r="M43" s="82"/>
      <c r="N43" s="275" t="s">
        <v>282</v>
      </c>
      <c r="O43" s="82"/>
      <c r="P43" s="82"/>
      <c r="Q43" s="82"/>
      <c r="AM43" s="1" t="s">
        <v>246</v>
      </c>
    </row>
    <row r="44" spans="1:45" ht="18">
      <c r="B44" s="57" t="s">
        <v>504</v>
      </c>
      <c r="C44" s="57"/>
      <c r="D44" s="57"/>
      <c r="E44" s="57"/>
      <c r="F44" s="103"/>
      <c r="G44" s="103"/>
      <c r="H44" s="103"/>
      <c r="J44" s="82"/>
      <c r="K44" s="275" t="s">
        <v>283</v>
      </c>
      <c r="L44" s="276">
        <f>AQ93-AP93</f>
        <v>2.125</v>
      </c>
      <c r="M44" s="276" t="s">
        <v>22</v>
      </c>
      <c r="N44" s="80">
        <f>-(AT93-AS93)</f>
        <v>2.9750000000000014</v>
      </c>
      <c r="O44" s="276" t="s">
        <v>159</v>
      </c>
      <c r="P44" s="277">
        <f>L44+N44</f>
        <v>5.1000000000000014</v>
      </c>
      <c r="Q44" s="82"/>
    </row>
    <row r="45" spans="1:45" ht="15.75">
      <c r="B45" s="103"/>
      <c r="C45" s="103"/>
      <c r="D45" s="103"/>
      <c r="E45" s="103"/>
      <c r="F45" s="103"/>
      <c r="G45" s="103"/>
      <c r="H45" s="103"/>
      <c r="AM45" s="380" t="s">
        <v>241</v>
      </c>
      <c r="AN45">
        <f>$G$25/$A$25*0</f>
        <v>0</v>
      </c>
      <c r="AO45">
        <f>$G$25/$A$25*0.2</f>
        <v>12</v>
      </c>
      <c r="AP45">
        <f>$G$25/$A$25*0.4</f>
        <v>24</v>
      </c>
      <c r="AQ45">
        <f>$G$25/$A$25*0.6</f>
        <v>36</v>
      </c>
      <c r="AR45">
        <f>$G$25/$A$25*0.8</f>
        <v>48</v>
      </c>
      <c r="AS45">
        <f>$G$25/$A$25</f>
        <v>60</v>
      </c>
    </row>
    <row r="46" spans="1:45" ht="16.5">
      <c r="B46" s="82"/>
      <c r="C46" s="130" t="s">
        <v>237</v>
      </c>
      <c r="D46" s="269" t="s">
        <v>238</v>
      </c>
      <c r="E46" s="130" t="s">
        <v>22</v>
      </c>
      <c r="F46" s="82">
        <v>10</v>
      </c>
      <c r="G46" s="103"/>
      <c r="H46" s="103"/>
      <c r="P46" s="408">
        <f>AN93-AM93</f>
        <v>5.1000000000000014</v>
      </c>
      <c r="AM46" s="380" t="s">
        <v>242</v>
      </c>
      <c r="AN46">
        <f t="shared" ref="AN46:AS46" si="2">(-$A$25*AN45)/$D$25+($G$25/$D$25)</f>
        <v>100</v>
      </c>
      <c r="AO46">
        <f t="shared" si="2"/>
        <v>80</v>
      </c>
      <c r="AP46">
        <f t="shared" si="2"/>
        <v>60</v>
      </c>
      <c r="AQ46">
        <f t="shared" si="2"/>
        <v>40</v>
      </c>
      <c r="AR46">
        <f t="shared" si="2"/>
        <v>20</v>
      </c>
      <c r="AS46">
        <f t="shared" si="2"/>
        <v>0</v>
      </c>
    </row>
    <row r="47" spans="1:45" ht="15.75">
      <c r="B47" s="82"/>
      <c r="C47" s="82"/>
      <c r="D47" s="130" t="s">
        <v>222</v>
      </c>
      <c r="E47" s="82"/>
      <c r="F47" s="82"/>
      <c r="G47" s="103"/>
      <c r="H47" s="103"/>
    </row>
    <row r="48" spans="1:45">
      <c r="B48" s="102" t="s">
        <v>488</v>
      </c>
      <c r="C48" s="103"/>
      <c r="D48" s="103"/>
      <c r="E48" s="103"/>
      <c r="F48" s="103"/>
      <c r="G48" s="103"/>
      <c r="H48" s="103"/>
      <c r="AM48" s="1" t="s">
        <v>247</v>
      </c>
    </row>
    <row r="49" spans="1:49">
      <c r="B49" s="103"/>
      <c r="C49" s="103"/>
      <c r="D49" s="103"/>
      <c r="E49" s="103"/>
      <c r="F49" s="103"/>
      <c r="G49" s="103"/>
      <c r="H49" s="103"/>
    </row>
    <row r="50" spans="1:49" ht="15.75">
      <c r="B50" s="103"/>
      <c r="C50" s="130" t="s">
        <v>237</v>
      </c>
      <c r="D50" s="270">
        <f>AO61</f>
        <v>1010.6510416666666</v>
      </c>
      <c r="E50" s="130" t="s">
        <v>22</v>
      </c>
      <c r="F50" s="82">
        <f>F46</f>
        <v>10</v>
      </c>
      <c r="G50" s="103"/>
      <c r="H50" s="103"/>
      <c r="AM50" s="380" t="s">
        <v>241</v>
      </c>
      <c r="AN50" s="90">
        <f>$AN$37*0.7</f>
        <v>19.32</v>
      </c>
      <c r="AO50" s="90">
        <f>$AN$37*0.8</f>
        <v>22.080000000000002</v>
      </c>
      <c r="AP50" s="90">
        <f>$AN$37*0.9</f>
        <v>24.840000000000003</v>
      </c>
      <c r="AQ50" s="1">
        <f>$AN$37</f>
        <v>27.6</v>
      </c>
      <c r="AR50" s="90">
        <f>$AN$37*1.1</f>
        <v>30.360000000000003</v>
      </c>
      <c r="AS50" s="90">
        <f>$AN$37*1.3</f>
        <v>35.880000000000003</v>
      </c>
    </row>
    <row r="51" spans="1:49" ht="15.75">
      <c r="B51" s="103"/>
      <c r="C51" s="82"/>
      <c r="D51" s="130" t="s">
        <v>222</v>
      </c>
      <c r="E51" s="82"/>
      <c r="F51" s="82"/>
      <c r="G51" s="103"/>
      <c r="H51" s="103"/>
      <c r="AM51" s="380" t="s">
        <v>242</v>
      </c>
      <c r="AN51" s="90">
        <f t="shared" ref="AN51:AS51" si="3">($AO$34/AN50)+$E$29</f>
        <v>73.714285714285708</v>
      </c>
      <c r="AO51" s="90">
        <f t="shared" si="3"/>
        <v>65.5</v>
      </c>
      <c r="AP51" s="90">
        <f t="shared" si="3"/>
        <v>59.1111111111111</v>
      </c>
      <c r="AQ51" s="1">
        <f t="shared" si="3"/>
        <v>53.999999999999993</v>
      </c>
      <c r="AR51" s="90">
        <f t="shared" si="3"/>
        <v>49.818181818181813</v>
      </c>
      <c r="AS51" s="90">
        <f t="shared" si="3"/>
        <v>43.38461538461538</v>
      </c>
    </row>
    <row r="52" spans="1:49">
      <c r="B52" s="102"/>
      <c r="C52" s="103"/>
      <c r="D52" s="103"/>
      <c r="E52" s="103"/>
      <c r="F52" s="103"/>
      <c r="G52" s="103"/>
      <c r="H52" s="103"/>
      <c r="AW52" s="1"/>
    </row>
    <row r="53" spans="1:49">
      <c r="B53" s="129" t="s">
        <v>491</v>
      </c>
      <c r="C53" s="103"/>
      <c r="D53" s="103"/>
      <c r="E53" s="103"/>
      <c r="F53" s="103"/>
      <c r="G53" s="103"/>
      <c r="H53" s="103"/>
      <c r="AW53" s="1"/>
    </row>
    <row r="54" spans="1:49" ht="18.75">
      <c r="B54" s="103"/>
      <c r="C54" s="130" t="s">
        <v>235</v>
      </c>
      <c r="D54" s="129">
        <f>-AO57/(2*AM57)</f>
        <v>24.625</v>
      </c>
      <c r="E54" s="130" t="s">
        <v>237</v>
      </c>
      <c r="F54" s="172">
        <f>(AN66/AN64)+AP66</f>
        <v>51.041666666666664</v>
      </c>
      <c r="G54" s="103"/>
      <c r="H54" s="103"/>
      <c r="AM54" s="66">
        <v>3</v>
      </c>
    </row>
    <row r="55" spans="1:49">
      <c r="B55" s="103"/>
      <c r="C55" s="103"/>
      <c r="D55" s="103"/>
      <c r="E55" s="103"/>
      <c r="F55" s="103"/>
      <c r="G55" s="103"/>
      <c r="H55" s="103"/>
      <c r="AM55" s="90" t="s">
        <v>263</v>
      </c>
    </row>
    <row r="56" spans="1:49">
      <c r="A56" s="31"/>
      <c r="B56" s="31"/>
      <c r="C56" s="31"/>
      <c r="D56" s="31"/>
      <c r="E56" s="31"/>
      <c r="F56" s="31"/>
      <c r="G56" s="31"/>
    </row>
    <row r="57" spans="1:49" ht="15">
      <c r="A57" s="59"/>
      <c r="B57" s="59"/>
      <c r="C57" s="59"/>
      <c r="D57" s="31"/>
      <c r="E57" s="31"/>
      <c r="F57" s="31"/>
      <c r="G57" s="31"/>
      <c r="AM57" s="39">
        <f>B42</f>
        <v>20</v>
      </c>
      <c r="AN57" s="380" t="s">
        <v>225</v>
      </c>
      <c r="AO57" s="39">
        <f>(-H42+(E42*F46))</f>
        <v>-985</v>
      </c>
      <c r="AP57" s="380" t="s">
        <v>226</v>
      </c>
      <c r="AQ57" s="39">
        <f>E42</f>
        <v>12</v>
      </c>
      <c r="AR57" s="41" t="s">
        <v>227</v>
      </c>
      <c r="AS57" s="380"/>
    </row>
    <row r="58" spans="1:49">
      <c r="A58" s="402"/>
      <c r="B58" s="31"/>
      <c r="C58" s="31"/>
      <c r="D58" s="402"/>
      <c r="E58" s="31"/>
      <c r="F58" s="31"/>
      <c r="G58" s="402"/>
      <c r="AT58" s="380"/>
      <c r="AU58" s="39"/>
      <c r="AV58" s="380"/>
      <c r="AW58" s="39"/>
    </row>
    <row r="59" spans="1:49" ht="15">
      <c r="A59" s="29"/>
      <c r="B59" s="402"/>
      <c r="C59" s="402"/>
      <c r="D59" s="29"/>
      <c r="E59" s="402"/>
      <c r="F59" s="402"/>
      <c r="G59" s="29"/>
      <c r="AH59" s="41"/>
      <c r="AI59" s="380"/>
      <c r="AM59" s="90" t="s">
        <v>228</v>
      </c>
      <c r="AN59">
        <f>AO57^2</f>
        <v>970225</v>
      </c>
      <c r="AO59" s="90" t="s">
        <v>229</v>
      </c>
      <c r="AP59">
        <f>4*AM57*AQ57</f>
        <v>960</v>
      </c>
      <c r="AQ59" s="41" t="s">
        <v>230</v>
      </c>
    </row>
    <row r="60" spans="1:49" ht="15">
      <c r="A60" s="31"/>
      <c r="B60" s="31"/>
      <c r="C60" s="31"/>
      <c r="D60" s="31"/>
      <c r="E60" s="31"/>
      <c r="F60" s="188"/>
      <c r="G60" s="31"/>
      <c r="AU60" s="90"/>
      <c r="AW60" s="41"/>
    </row>
    <row r="61" spans="1:49" ht="15">
      <c r="A61" s="59"/>
      <c r="B61" s="59"/>
      <c r="C61" s="59"/>
      <c r="D61" s="59"/>
      <c r="E61" s="31"/>
      <c r="F61" s="31"/>
      <c r="G61" s="31"/>
      <c r="AN61" s="41" t="s">
        <v>233</v>
      </c>
      <c r="AO61">
        <f>-(-AO57^2)/-AP59</f>
        <v>1010.6510416666666</v>
      </c>
    </row>
    <row r="62" spans="1:49" ht="15">
      <c r="A62" s="430" t="s">
        <v>518</v>
      </c>
      <c r="B62" s="103"/>
      <c r="C62" s="31"/>
      <c r="D62" s="31"/>
      <c r="E62" s="31"/>
      <c r="F62" s="31"/>
      <c r="G62" s="31"/>
      <c r="AM62" s="90" t="s">
        <v>264</v>
      </c>
      <c r="AT62" s="41"/>
    </row>
    <row r="63" spans="1:49" ht="15">
      <c r="A63" s="431" t="s">
        <v>510</v>
      </c>
      <c r="B63" s="432"/>
      <c r="C63" s="60"/>
      <c r="D63" s="402"/>
      <c r="E63" s="29"/>
      <c r="F63" s="31"/>
      <c r="G63" s="31"/>
    </row>
    <row r="64" spans="1:49" ht="15.75">
      <c r="A64" s="431" t="s">
        <v>511</v>
      </c>
      <c r="B64" s="432"/>
      <c r="C64" s="402"/>
      <c r="D64" s="29"/>
      <c r="E64" s="29"/>
      <c r="F64" s="31"/>
      <c r="G64" s="31"/>
      <c r="AM64" s="380" t="s">
        <v>235</v>
      </c>
      <c r="AN64">
        <f>-AO57/(2*AM57)</f>
        <v>24.625</v>
      </c>
      <c r="AQ64" s="90" t="s">
        <v>236</v>
      </c>
      <c r="AR64">
        <f>AN64</f>
        <v>24.625</v>
      </c>
      <c r="AS64">
        <f>AN64</f>
        <v>24.625</v>
      </c>
    </row>
    <row r="65" spans="1:48">
      <c r="A65" s="431" t="s">
        <v>512</v>
      </c>
      <c r="B65" s="432"/>
      <c r="C65" s="31"/>
      <c r="D65" s="31"/>
      <c r="E65" s="31"/>
      <c r="F65" s="31"/>
      <c r="G65" s="31"/>
      <c r="AR65">
        <v>0</v>
      </c>
      <c r="AS65">
        <f>AN68</f>
        <v>51.041666666666664</v>
      </c>
    </row>
    <row r="66" spans="1:48" ht="15.75">
      <c r="A66" s="431" t="s">
        <v>513</v>
      </c>
      <c r="B66" s="432"/>
      <c r="C66" s="31"/>
      <c r="D66" s="31"/>
      <c r="E66" s="31"/>
      <c r="F66" s="31"/>
      <c r="G66" s="31"/>
      <c r="AM66" s="380" t="s">
        <v>237</v>
      </c>
      <c r="AN66" s="40">
        <f>AO61</f>
        <v>1010.6510416666666</v>
      </c>
      <c r="AO66" s="380" t="s">
        <v>22</v>
      </c>
      <c r="AP66" s="39">
        <f>F46</f>
        <v>10</v>
      </c>
    </row>
    <row r="67" spans="1:48" ht="15.75">
      <c r="A67" s="431" t="s">
        <v>514</v>
      </c>
      <c r="B67" s="432"/>
      <c r="C67" s="61"/>
      <c r="D67" s="402"/>
      <c r="E67" s="62"/>
      <c r="F67" s="31"/>
      <c r="G67" s="31"/>
      <c r="AM67" s="39"/>
      <c r="AN67" s="380" t="s">
        <v>222</v>
      </c>
      <c r="AO67" s="39"/>
      <c r="AP67" s="39"/>
      <c r="AQ67" s="90" t="s">
        <v>239</v>
      </c>
      <c r="AR67">
        <f>AN68</f>
        <v>51.041666666666664</v>
      </c>
      <c r="AS67">
        <f>AN68</f>
        <v>51.041666666666664</v>
      </c>
      <c r="AT67" s="40"/>
      <c r="AU67" s="380"/>
      <c r="AV67" s="39"/>
    </row>
    <row r="68" spans="1:48" ht="15.75">
      <c r="A68" s="431" t="s">
        <v>515</v>
      </c>
      <c r="B68" s="431"/>
      <c r="C68" s="402"/>
      <c r="D68" s="29"/>
      <c r="E68" s="29"/>
      <c r="F68" s="31"/>
      <c r="G68" s="31"/>
      <c r="AM68" s="380" t="s">
        <v>237</v>
      </c>
      <c r="AN68">
        <f>(AN66/AN64)+AP66</f>
        <v>51.041666666666664</v>
      </c>
      <c r="AR68">
        <v>0</v>
      </c>
      <c r="AS68">
        <f>AN64</f>
        <v>24.625</v>
      </c>
      <c r="AT68" s="380"/>
      <c r="AU68" s="39"/>
      <c r="AV68" s="39"/>
    </row>
    <row r="69" spans="1:48">
      <c r="A69" s="431" t="s">
        <v>516</v>
      </c>
      <c r="B69" s="431"/>
      <c r="C69" s="31"/>
      <c r="D69" s="31"/>
      <c r="E69" s="31"/>
      <c r="F69" s="31"/>
      <c r="G69" s="31"/>
    </row>
    <row r="70" spans="1:48">
      <c r="A70" s="431" t="s">
        <v>517</v>
      </c>
      <c r="B70" s="431"/>
      <c r="C70" s="31"/>
      <c r="D70" s="31"/>
      <c r="E70" s="31"/>
      <c r="F70" s="31"/>
      <c r="G70" s="31"/>
      <c r="AM70" s="1" t="s">
        <v>265</v>
      </c>
    </row>
    <row r="71" spans="1:48">
      <c r="A71" s="31"/>
      <c r="B71" s="402"/>
      <c r="C71" s="63"/>
      <c r="D71" s="402"/>
      <c r="E71" s="64"/>
      <c r="F71" s="31"/>
      <c r="G71" s="31"/>
    </row>
    <row r="72" spans="1:48" ht="15.75">
      <c r="A72" s="31"/>
      <c r="B72" s="31"/>
      <c r="C72" s="31"/>
      <c r="D72" s="31"/>
      <c r="E72" s="31"/>
      <c r="F72" s="31"/>
      <c r="G72" s="31"/>
      <c r="AM72" s="380" t="s">
        <v>241</v>
      </c>
      <c r="AN72">
        <f>$H$42/$B$42*0</f>
        <v>0</v>
      </c>
      <c r="AO72">
        <f>$H$42/$B$42*0.2</f>
        <v>11.05</v>
      </c>
      <c r="AP72">
        <f>$H$42/$B$42*0.4</f>
        <v>22.1</v>
      </c>
      <c r="AQ72">
        <f>$H$42/$B$42*0.6</f>
        <v>33.15</v>
      </c>
      <c r="AR72">
        <f>$H$42/$B$42*0.8</f>
        <v>44.2</v>
      </c>
      <c r="AS72">
        <f>$H$42/$B$42</f>
        <v>55.25</v>
      </c>
    </row>
    <row r="73" spans="1:48" ht="15.75">
      <c r="AM73" s="380" t="s">
        <v>242</v>
      </c>
      <c r="AN73">
        <f t="shared" ref="AN73:AS73" si="4">(-$B$42*AN72)/$E$42+($H$42/$E$42)</f>
        <v>92.083333333333329</v>
      </c>
      <c r="AO73">
        <f t="shared" si="4"/>
        <v>73.666666666666657</v>
      </c>
      <c r="AP73">
        <f t="shared" si="4"/>
        <v>55.249999999999993</v>
      </c>
      <c r="AQ73">
        <f t="shared" si="4"/>
        <v>36.833333333333329</v>
      </c>
      <c r="AR73">
        <f t="shared" si="4"/>
        <v>18.416666666666657</v>
      </c>
      <c r="AS73">
        <f t="shared" si="4"/>
        <v>0</v>
      </c>
    </row>
    <row r="75" spans="1:48">
      <c r="AM75" s="1" t="s">
        <v>266</v>
      </c>
    </row>
    <row r="77" spans="1:48" ht="15.75">
      <c r="AM77" s="380" t="s">
        <v>241</v>
      </c>
      <c r="AN77" s="90">
        <f>$AN$64*0.7</f>
        <v>17.237499999999997</v>
      </c>
      <c r="AO77" s="90">
        <f>$AN$64*0.8</f>
        <v>19.700000000000003</v>
      </c>
      <c r="AP77" s="90">
        <f>$AN$64*0.9</f>
        <v>22.162500000000001</v>
      </c>
      <c r="AQ77" s="1">
        <f>$AN$64</f>
        <v>24.625</v>
      </c>
      <c r="AR77" s="90">
        <f>$AN$64*1.1</f>
        <v>27.087500000000002</v>
      </c>
      <c r="AS77" s="90">
        <f>$AN$64*1.3</f>
        <v>32.012500000000003</v>
      </c>
    </row>
    <row r="78" spans="1:48" ht="15.75">
      <c r="AM78" s="380" t="s">
        <v>242</v>
      </c>
      <c r="AN78" s="90">
        <f t="shared" ref="AN78:AS78" si="5">($AO$61/AN77)+$F$46</f>
        <v>68.63095238095238</v>
      </c>
      <c r="AO78" s="90">
        <f t="shared" si="5"/>
        <v>61.302083333333321</v>
      </c>
      <c r="AP78" s="90">
        <f t="shared" si="5"/>
        <v>55.601851851851848</v>
      </c>
      <c r="AQ78" s="90">
        <f t="shared" si="5"/>
        <v>51.041666666666664</v>
      </c>
      <c r="AR78" s="90">
        <f t="shared" si="5"/>
        <v>47.310606060606055</v>
      </c>
      <c r="AS78" s="90">
        <f t="shared" si="5"/>
        <v>41.570512820512818</v>
      </c>
    </row>
    <row r="79" spans="1:48">
      <c r="AS79" s="380"/>
    </row>
    <row r="81" spans="38:55">
      <c r="AM81" s="1"/>
      <c r="AS81" s="1" t="s">
        <v>284</v>
      </c>
      <c r="AW81" s="90" t="s">
        <v>268</v>
      </c>
      <c r="AY81" s="404" t="s">
        <v>269</v>
      </c>
      <c r="AZ81" s="90">
        <f>(AU84-AT84)/(AU83-AT83)</f>
        <v>-0.19607843137255035</v>
      </c>
      <c r="BA81" s="90" t="s">
        <v>170</v>
      </c>
      <c r="BB81" s="90" t="s">
        <v>22</v>
      </c>
      <c r="BC81">
        <f>-(AU84-AT84)/(AU83-AT83)*AT83+AT84</f>
        <v>59.411764705882383</v>
      </c>
    </row>
    <row r="82" spans="38:55">
      <c r="AM82" s="1" t="s">
        <v>270</v>
      </c>
      <c r="AS82" s="90" t="s">
        <v>285</v>
      </c>
      <c r="AT82">
        <v>1</v>
      </c>
      <c r="AU82">
        <v>2</v>
      </c>
      <c r="AV82" s="90" t="s">
        <v>286</v>
      </c>
    </row>
    <row r="83" spans="38:55">
      <c r="AO83">
        <v>1</v>
      </c>
      <c r="AP83">
        <v>2</v>
      </c>
      <c r="AQ83">
        <v>3</v>
      </c>
      <c r="AS83" s="380">
        <f>AT83*0.9</f>
        <v>20.25</v>
      </c>
      <c r="AT83">
        <f>AO84</f>
        <v>22.5</v>
      </c>
      <c r="AU83">
        <f>AP84</f>
        <v>27.6</v>
      </c>
      <c r="AV83">
        <f>AU83*1.2</f>
        <v>33.119999999999997</v>
      </c>
    </row>
    <row r="84" spans="38:55">
      <c r="AM84" s="90" t="s">
        <v>195</v>
      </c>
      <c r="AO84">
        <f>AN10</f>
        <v>22.5</v>
      </c>
      <c r="AP84">
        <f>AN37</f>
        <v>27.6</v>
      </c>
      <c r="AQ84">
        <f>AN64</f>
        <v>24.625</v>
      </c>
      <c r="AS84" s="380">
        <f>AZ81*AS83+BC81</f>
        <v>55.441176470588239</v>
      </c>
      <c r="AT84">
        <f>AO85</f>
        <v>55</v>
      </c>
      <c r="AU84">
        <f>AP85</f>
        <v>53.999999999999993</v>
      </c>
      <c r="AV84">
        <f>AZ81*AV83+BC81</f>
        <v>52.917647058823519</v>
      </c>
    </row>
    <row r="85" spans="38:55">
      <c r="AM85" s="90" t="s">
        <v>196</v>
      </c>
      <c r="AO85">
        <f>AN14</f>
        <v>55</v>
      </c>
      <c r="AP85">
        <f>AN41</f>
        <v>53.999999999999993</v>
      </c>
      <c r="AQ85">
        <f>AN68</f>
        <v>51.041666666666664</v>
      </c>
    </row>
    <row r="86" spans="38:55">
      <c r="AS86" s="1" t="s">
        <v>267</v>
      </c>
      <c r="AW86" s="90" t="s">
        <v>268</v>
      </c>
      <c r="AY86" s="404" t="s">
        <v>269</v>
      </c>
      <c r="AZ86" s="90">
        <f>(AU89-AT89)/(AU88-AT88)</f>
        <v>0.99439775910363937</v>
      </c>
      <c r="BA86" s="90" t="s">
        <v>170</v>
      </c>
      <c r="BB86" s="90" t="s">
        <v>22</v>
      </c>
      <c r="BC86">
        <f>-(AU89-AT89)/(AU88-AT88)*AT88+AT89</f>
        <v>26.554621848739544</v>
      </c>
    </row>
    <row r="87" spans="38:55">
      <c r="AS87" s="90" t="s">
        <v>285</v>
      </c>
      <c r="AT87">
        <v>1</v>
      </c>
      <c r="AU87">
        <v>2</v>
      </c>
      <c r="AV87" s="90" t="s">
        <v>286</v>
      </c>
    </row>
    <row r="88" spans="38:55">
      <c r="AS88" s="380">
        <f>AT88*0.9</f>
        <v>24.840000000000003</v>
      </c>
      <c r="AT88">
        <f>AP84</f>
        <v>27.6</v>
      </c>
      <c r="AU88">
        <f>AQ84</f>
        <v>24.625</v>
      </c>
      <c r="AV88">
        <f>AU88*1.2</f>
        <v>29.549999999999997</v>
      </c>
    </row>
    <row r="89" spans="38:55">
      <c r="AS89" s="380">
        <f>AZ86*AS88+BC86</f>
        <v>51.255462184873949</v>
      </c>
      <c r="AT89">
        <f>AP85</f>
        <v>53.999999999999993</v>
      </c>
      <c r="AU89">
        <f>AQ85</f>
        <v>51.041666666666664</v>
      </c>
      <c r="AV89">
        <f>AZ86*AV88+BC86</f>
        <v>55.939075630252084</v>
      </c>
    </row>
    <row r="91" spans="38:55" ht="18">
      <c r="AM91" s="66" t="s">
        <v>287</v>
      </c>
      <c r="AN91">
        <f>AN93-AM93</f>
        <v>5.1000000000000014</v>
      </c>
      <c r="AP91" s="66" t="s">
        <v>288</v>
      </c>
      <c r="AQ91">
        <f>AQ93-AP93</f>
        <v>2.125</v>
      </c>
      <c r="AS91" s="66" t="s">
        <v>282</v>
      </c>
      <c r="AT91">
        <f>AT93-AS93</f>
        <v>-2.9750000000000014</v>
      </c>
    </row>
    <row r="92" spans="38:55">
      <c r="AM92">
        <v>1</v>
      </c>
      <c r="AN92">
        <v>2</v>
      </c>
      <c r="AP92">
        <v>1</v>
      </c>
      <c r="AQ92">
        <v>3</v>
      </c>
      <c r="AS92">
        <v>2</v>
      </c>
      <c r="AT92">
        <v>3</v>
      </c>
    </row>
    <row r="93" spans="38:55">
      <c r="AM93">
        <f>AO84</f>
        <v>22.5</v>
      </c>
      <c r="AN93">
        <f>AP84</f>
        <v>27.6</v>
      </c>
      <c r="AP93">
        <f>AO84</f>
        <v>22.5</v>
      </c>
      <c r="AQ93">
        <f>AQ84</f>
        <v>24.625</v>
      </c>
      <c r="AS93">
        <f>AP84</f>
        <v>27.6</v>
      </c>
      <c r="AT93">
        <f>AQ84</f>
        <v>24.625</v>
      </c>
    </row>
    <row r="94" spans="38:55">
      <c r="AM94">
        <f>AO85</f>
        <v>55</v>
      </c>
      <c r="AN94">
        <f>AP85</f>
        <v>53.999999999999993</v>
      </c>
      <c r="AP94">
        <f>AO85</f>
        <v>55</v>
      </c>
      <c r="AQ94">
        <f>AQ85</f>
        <v>51.041666666666664</v>
      </c>
      <c r="AS94">
        <f>AP85</f>
        <v>53.999999999999993</v>
      </c>
      <c r="AT94">
        <f>AQ85</f>
        <v>51.041666666666664</v>
      </c>
    </row>
    <row r="95" spans="38:55">
      <c r="AL95" s="90" t="s">
        <v>170</v>
      </c>
      <c r="AM95">
        <f>AM93</f>
        <v>22.5</v>
      </c>
      <c r="AN95">
        <f>AN93</f>
        <v>27.6</v>
      </c>
      <c r="AO95" s="90" t="s">
        <v>170</v>
      </c>
      <c r="AP95">
        <f>AP93</f>
        <v>22.5</v>
      </c>
      <c r="AQ95">
        <f>AQ93</f>
        <v>24.625</v>
      </c>
      <c r="AR95" s="90" t="s">
        <v>170</v>
      </c>
      <c r="AS95">
        <f>AS93</f>
        <v>27.6</v>
      </c>
      <c r="AT95">
        <f>AT93</f>
        <v>24.625</v>
      </c>
    </row>
    <row r="96" spans="38:55">
      <c r="AL96" s="90" t="s">
        <v>289</v>
      </c>
      <c r="AM96">
        <f>AM94*0.1</f>
        <v>5.5</v>
      </c>
      <c r="AN96">
        <f>AM94*0.1</f>
        <v>5.5</v>
      </c>
      <c r="AO96" s="90" t="s">
        <v>290</v>
      </c>
      <c r="AP96">
        <f>AP94*0.2</f>
        <v>11</v>
      </c>
      <c r="AQ96">
        <f>AP94*0.2</f>
        <v>11</v>
      </c>
      <c r="AR96" s="90" t="s">
        <v>291</v>
      </c>
      <c r="AS96">
        <f>AP94*0.25</f>
        <v>13.75</v>
      </c>
      <c r="AT96">
        <f>AP94*0.25</f>
        <v>13.75</v>
      </c>
    </row>
    <row r="100" spans="37:55">
      <c r="AM100" s="1" t="s">
        <v>277</v>
      </c>
    </row>
    <row r="102" spans="37:55">
      <c r="AO102">
        <v>1</v>
      </c>
      <c r="AP102">
        <v>2</v>
      </c>
      <c r="AQ102">
        <v>3</v>
      </c>
      <c r="AR102" t="s">
        <v>292</v>
      </c>
      <c r="AU102" t="s">
        <v>293</v>
      </c>
      <c r="AX102" t="s">
        <v>236</v>
      </c>
    </row>
    <row r="103" spans="37:55">
      <c r="AR103" s="91">
        <f>AU103</f>
        <v>-0.49602122015915118</v>
      </c>
      <c r="AS103" s="91">
        <f>AU105</f>
        <v>-1.1197604790419164</v>
      </c>
      <c r="AU103" s="91">
        <f>((AQ105-AO105)/(0.5*(AQ105+AO105)))/((AQ104-AO104)/(0.5*(AQ104+AO104)))</f>
        <v>-0.49602122015915118</v>
      </c>
      <c r="AX103">
        <v>1</v>
      </c>
      <c r="AZ103">
        <v>2</v>
      </c>
      <c r="BB103">
        <v>3</v>
      </c>
    </row>
    <row r="104" spans="37:55">
      <c r="AM104" s="81" t="s">
        <v>278</v>
      </c>
      <c r="AO104">
        <f>B8</f>
        <v>24</v>
      </c>
      <c r="AP104">
        <f>A25</f>
        <v>20</v>
      </c>
      <c r="AQ104">
        <f>B42</f>
        <v>20</v>
      </c>
      <c r="AR104">
        <f>AO104</f>
        <v>24</v>
      </c>
      <c r="AS104">
        <f>AP104</f>
        <v>20</v>
      </c>
      <c r="AU104" t="s">
        <v>293</v>
      </c>
      <c r="AX104">
        <f>AO105</f>
        <v>22.5</v>
      </c>
      <c r="AY104">
        <f>AO105</f>
        <v>22.5</v>
      </c>
      <c r="AZ104">
        <f>AP105</f>
        <v>27.6</v>
      </c>
      <c r="BA104">
        <f>AP105</f>
        <v>27.6</v>
      </c>
      <c r="BB104">
        <f>AQ105</f>
        <v>24.625</v>
      </c>
      <c r="BC104">
        <f>AQ105</f>
        <v>24.625</v>
      </c>
    </row>
    <row r="105" spans="37:55" ht="15.75">
      <c r="AM105" s="409" t="s">
        <v>241</v>
      </c>
      <c r="AO105">
        <f>AO84</f>
        <v>22.5</v>
      </c>
      <c r="AP105">
        <f>AP84</f>
        <v>27.6</v>
      </c>
      <c r="AQ105">
        <f>AQ84</f>
        <v>24.625</v>
      </c>
      <c r="AR105">
        <f>AO105</f>
        <v>22.5</v>
      </c>
      <c r="AS105">
        <f>AP105</f>
        <v>27.6</v>
      </c>
      <c r="AU105" s="91">
        <f>((AP105-AO105)/(0.5*(AP105+AO105)))/((AP104-AO104)/(0.5*(AP104+AO104)))</f>
        <v>-1.1197604790419164</v>
      </c>
      <c r="AX105">
        <v>0</v>
      </c>
      <c r="AY105">
        <f>AO104</f>
        <v>24</v>
      </c>
      <c r="AZ105">
        <v>0</v>
      </c>
      <c r="BA105">
        <f>AP104</f>
        <v>20</v>
      </c>
      <c r="BB105">
        <v>0</v>
      </c>
      <c r="BC105">
        <f>AQ104</f>
        <v>20</v>
      </c>
    </row>
    <row r="106" spans="37:55">
      <c r="AM106" s="380"/>
      <c r="AO106" s="380"/>
      <c r="AP106" s="39"/>
    </row>
    <row r="107" spans="37:55">
      <c r="AM107" s="39"/>
      <c r="AN107" s="380"/>
      <c r="AO107" s="39"/>
      <c r="AP107" s="39"/>
      <c r="AQ107" s="404" t="s">
        <v>269</v>
      </c>
      <c r="AR107" s="90">
        <f>(AP112-AO112)/(AP111-AO111)</f>
        <v>-1.8823529411764706</v>
      </c>
      <c r="AS107" s="90" t="s">
        <v>170</v>
      </c>
      <c r="AT107" s="90" t="s">
        <v>22</v>
      </c>
      <c r="AU107">
        <f>-(AP112-AO112)/(AP111-AO111)*AO111+AO112</f>
        <v>66.35294117647058</v>
      </c>
      <c r="AX107" s="90" t="s">
        <v>239</v>
      </c>
    </row>
    <row r="108" spans="37:55">
      <c r="AM108" s="380"/>
      <c r="AX108">
        <v>1</v>
      </c>
      <c r="AZ108">
        <v>2</v>
      </c>
      <c r="BB108">
        <v>3</v>
      </c>
    </row>
    <row r="109" spans="37:55">
      <c r="AK109" s="1"/>
      <c r="AO109" s="90" t="s">
        <v>294</v>
      </c>
      <c r="AS109" s="90" t="s">
        <v>295</v>
      </c>
      <c r="AX109">
        <f>AN108</f>
        <v>0</v>
      </c>
      <c r="AY109">
        <f>AO105</f>
        <v>22.5</v>
      </c>
      <c r="AZ109">
        <f>AO108</f>
        <v>0</v>
      </c>
      <c r="BA109">
        <f>AP105</f>
        <v>27.6</v>
      </c>
      <c r="BB109">
        <f>AP108</f>
        <v>0</v>
      </c>
      <c r="BC109">
        <f>AQ105</f>
        <v>24.625</v>
      </c>
    </row>
    <row r="110" spans="37:55">
      <c r="AN110" s="90" t="s">
        <v>296</v>
      </c>
      <c r="AO110">
        <v>1</v>
      </c>
      <c r="AP110">
        <v>3</v>
      </c>
      <c r="AQ110" s="90" t="s">
        <v>286</v>
      </c>
      <c r="AS110">
        <v>1</v>
      </c>
      <c r="AT110">
        <v>2</v>
      </c>
      <c r="AX110">
        <f>AO104</f>
        <v>24</v>
      </c>
      <c r="AY110">
        <f>AO104</f>
        <v>24</v>
      </c>
      <c r="AZ110">
        <f>AP104</f>
        <v>20</v>
      </c>
      <c r="BA110">
        <f>AP104</f>
        <v>20</v>
      </c>
      <c r="BB110">
        <f>AQ104</f>
        <v>20</v>
      </c>
      <c r="BC110">
        <f>AQ104</f>
        <v>20</v>
      </c>
    </row>
    <row r="111" spans="37:55" ht="15.75">
      <c r="AM111" s="409" t="s">
        <v>241</v>
      </c>
      <c r="AN111" s="380">
        <f>AO111*0.8</f>
        <v>18</v>
      </c>
      <c r="AO111">
        <f>AO105</f>
        <v>22.5</v>
      </c>
      <c r="AP111">
        <f>AQ105</f>
        <v>24.625</v>
      </c>
      <c r="AQ111">
        <f>AP111*1.2</f>
        <v>29.549999999999997</v>
      </c>
      <c r="AS111">
        <f>AO105</f>
        <v>22.5</v>
      </c>
      <c r="AT111">
        <f>AP105</f>
        <v>27.6</v>
      </c>
    </row>
    <row r="112" spans="37:55">
      <c r="AM112" s="81" t="s">
        <v>278</v>
      </c>
      <c r="AN112" s="380">
        <f>AR107*AN111+AU107</f>
        <v>32.470588235294109</v>
      </c>
      <c r="AO112">
        <f>AO104</f>
        <v>24</v>
      </c>
      <c r="AP112">
        <f>AQ104</f>
        <v>20</v>
      </c>
      <c r="AQ112">
        <f>AR107*AQ111+AU107</f>
        <v>10.72941176470588</v>
      </c>
      <c r="AS112">
        <f>AO104</f>
        <v>24</v>
      </c>
      <c r="AT112">
        <f>AP104</f>
        <v>20</v>
      </c>
    </row>
    <row r="116" spans="39:42">
      <c r="AM116" s="1" t="s">
        <v>279</v>
      </c>
    </row>
    <row r="117" spans="39:42">
      <c r="AM117" s="380"/>
    </row>
    <row r="118" spans="39:42">
      <c r="AN118">
        <v>1</v>
      </c>
      <c r="AO118">
        <v>2</v>
      </c>
      <c r="AP118">
        <v>3</v>
      </c>
    </row>
    <row r="119" spans="39:42">
      <c r="AM119" s="380" t="s">
        <v>196</v>
      </c>
      <c r="AN119" s="34">
        <f>F20</f>
        <v>55</v>
      </c>
      <c r="AO119" s="34">
        <f>E37</f>
        <v>53.999999999999993</v>
      </c>
      <c r="AP119" s="34">
        <f>F54</f>
        <v>51.041666666666664</v>
      </c>
    </row>
    <row r="120" spans="39:42">
      <c r="AM120" s="39" t="s">
        <v>280</v>
      </c>
      <c r="AN120">
        <f>E8</f>
        <v>12</v>
      </c>
      <c r="AO120">
        <f>D25</f>
        <v>12</v>
      </c>
      <c r="AP120">
        <f>E42</f>
        <v>12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D117"/>
  <sheetViews>
    <sheetView topLeftCell="A38" zoomScale="60" zoomScaleNormal="60" workbookViewId="0">
      <selection activeCell="A64" sqref="A64:B72"/>
    </sheetView>
  </sheetViews>
  <sheetFormatPr defaultRowHeight="12.75"/>
  <cols>
    <col min="8" max="8" width="12.85546875" customWidth="1"/>
    <col min="14" max="14" width="9.7109375" bestFit="1" customWidth="1"/>
    <col min="15" max="15" width="14" customWidth="1"/>
    <col min="47" max="47" width="10.140625" bestFit="1" customWidth="1"/>
  </cols>
  <sheetData>
    <row r="1" spans="2:49" ht="18">
      <c r="B1" s="103"/>
      <c r="C1" s="103"/>
      <c r="D1" s="103"/>
      <c r="E1" s="129"/>
      <c r="F1" s="129" t="s">
        <v>112</v>
      </c>
      <c r="G1" s="151"/>
      <c r="H1" s="151"/>
      <c r="I1" s="151"/>
      <c r="J1" s="151"/>
      <c r="K1" s="151"/>
      <c r="L1" s="151"/>
      <c r="M1" s="152"/>
      <c r="N1" s="103"/>
      <c r="O1" s="102" t="s">
        <v>1</v>
      </c>
      <c r="P1" s="103"/>
      <c r="Q1" s="103"/>
      <c r="R1" s="103"/>
      <c r="S1" s="103"/>
      <c r="T1" s="103"/>
      <c r="U1" s="103"/>
      <c r="V1" s="103"/>
      <c r="W1" s="103"/>
      <c r="AL1" s="66">
        <v>1</v>
      </c>
      <c r="AM1" s="90" t="s">
        <v>224</v>
      </c>
    </row>
    <row r="2" spans="2:49" ht="15">
      <c r="B2" s="103"/>
      <c r="C2" s="103"/>
      <c r="D2" s="103"/>
      <c r="E2" s="151" t="s">
        <v>334</v>
      </c>
      <c r="F2" s="103"/>
      <c r="G2" s="151"/>
      <c r="H2" s="151"/>
      <c r="I2" s="151"/>
      <c r="J2" s="151"/>
      <c r="K2" s="152"/>
      <c r="L2" s="152"/>
      <c r="M2" s="152"/>
      <c r="N2" s="103"/>
      <c r="O2" s="102" t="s">
        <v>43</v>
      </c>
      <c r="P2" s="103"/>
      <c r="Q2" s="103"/>
      <c r="R2" s="103"/>
      <c r="S2" s="103"/>
      <c r="T2" s="103"/>
      <c r="U2" s="103"/>
      <c r="V2" s="103"/>
      <c r="W2" s="103"/>
    </row>
    <row r="3" spans="2:49" ht="15">
      <c r="B3" s="154" t="s">
        <v>5</v>
      </c>
      <c r="C3" s="103"/>
      <c r="D3" s="103"/>
      <c r="E3" s="103"/>
      <c r="F3" s="129" t="s">
        <v>335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AM3" s="39">
        <f>B8</f>
        <v>11</v>
      </c>
      <c r="AN3" s="380" t="s">
        <v>225</v>
      </c>
      <c r="AO3" s="39">
        <f>(-H8+(E8*F12))</f>
        <v>-700</v>
      </c>
      <c r="AP3" s="380" t="s">
        <v>226</v>
      </c>
      <c r="AQ3" s="39">
        <f>E8</f>
        <v>6</v>
      </c>
      <c r="AR3" s="41" t="s">
        <v>227</v>
      </c>
      <c r="AS3" s="380"/>
    </row>
    <row r="4" spans="2:49">
      <c r="AW4" s="39"/>
    </row>
    <row r="5" spans="2:49" ht="15">
      <c r="B5" s="103"/>
      <c r="C5" s="103"/>
      <c r="D5" s="103"/>
      <c r="E5" s="103"/>
      <c r="F5" s="103"/>
      <c r="G5" s="103"/>
      <c r="H5" s="103"/>
      <c r="AH5" s="41"/>
      <c r="AI5" s="380"/>
      <c r="AM5" s="90" t="s">
        <v>228</v>
      </c>
      <c r="AN5">
        <f>AO3^2</f>
        <v>490000</v>
      </c>
      <c r="AO5" s="90" t="s">
        <v>229</v>
      </c>
      <c r="AP5">
        <f>4*AM3*AQ3</f>
        <v>264</v>
      </c>
      <c r="AQ5" s="41" t="s">
        <v>230</v>
      </c>
    </row>
    <row r="6" spans="2:49" ht="15">
      <c r="B6" s="405" t="s">
        <v>429</v>
      </c>
      <c r="C6" s="65"/>
      <c r="D6" s="65"/>
      <c r="E6" s="103"/>
      <c r="F6" s="103"/>
      <c r="G6" s="103"/>
      <c r="H6" s="103"/>
      <c r="AW6" s="41"/>
    </row>
    <row r="7" spans="2:49" ht="16.5">
      <c r="B7" s="130" t="s">
        <v>197</v>
      </c>
      <c r="C7" s="103"/>
      <c r="D7" s="103"/>
      <c r="E7" s="130" t="s">
        <v>198</v>
      </c>
      <c r="F7" s="103"/>
      <c r="G7" s="103"/>
      <c r="H7" s="130" t="s">
        <v>199</v>
      </c>
      <c r="AN7" s="41" t="s">
        <v>233</v>
      </c>
      <c r="AO7">
        <f>-(-AO3^2)/-AP5</f>
        <v>1856.060606060606</v>
      </c>
    </row>
    <row r="8" spans="2:49" ht="15.75">
      <c r="B8" s="150">
        <v>11</v>
      </c>
      <c r="C8" s="130" t="s">
        <v>231</v>
      </c>
      <c r="D8" s="130" t="s">
        <v>22</v>
      </c>
      <c r="E8" s="150">
        <v>6</v>
      </c>
      <c r="F8" s="130" t="s">
        <v>232</v>
      </c>
      <c r="G8" s="130" t="s">
        <v>159</v>
      </c>
      <c r="H8" s="150">
        <v>1000</v>
      </c>
      <c r="AM8" s="90" t="s">
        <v>234</v>
      </c>
    </row>
    <row r="9" spans="2:49">
      <c r="B9" s="103"/>
      <c r="C9" s="103"/>
      <c r="D9" s="103"/>
      <c r="E9" s="103"/>
      <c r="F9" s="103"/>
      <c r="G9" s="103"/>
      <c r="H9" s="103"/>
    </row>
    <row r="10" spans="2:49" ht="15.75">
      <c r="B10" s="405" t="s">
        <v>502</v>
      </c>
      <c r="C10" s="65"/>
      <c r="D10" s="65"/>
      <c r="E10" s="65"/>
      <c r="F10" s="103"/>
      <c r="G10" s="103"/>
      <c r="H10" s="103"/>
      <c r="AM10" s="380" t="s">
        <v>235</v>
      </c>
      <c r="AN10">
        <f>-AO3/(2*AM3)</f>
        <v>31.818181818181817</v>
      </c>
      <c r="AQ10" s="90" t="s">
        <v>236</v>
      </c>
      <c r="AR10">
        <f>AN10</f>
        <v>31.818181818181817</v>
      </c>
      <c r="AS10">
        <f>AN10</f>
        <v>31.818181818181817</v>
      </c>
    </row>
    <row r="11" spans="2:49">
      <c r="B11" s="103"/>
      <c r="C11" s="103"/>
      <c r="D11" s="103"/>
      <c r="E11" s="103"/>
      <c r="F11" s="103"/>
      <c r="G11" s="103"/>
      <c r="H11" s="103"/>
      <c r="AR11">
        <v>0</v>
      </c>
      <c r="AS11">
        <f>AN14</f>
        <v>108.33333333333334</v>
      </c>
    </row>
    <row r="12" spans="2:49" ht="16.5">
      <c r="B12" s="82"/>
      <c r="C12" s="130" t="s">
        <v>237</v>
      </c>
      <c r="D12" s="269" t="s">
        <v>238</v>
      </c>
      <c r="E12" s="130" t="s">
        <v>22</v>
      </c>
      <c r="F12" s="150">
        <v>50</v>
      </c>
      <c r="G12" s="103"/>
      <c r="H12" s="103"/>
      <c r="AM12" s="380" t="s">
        <v>237</v>
      </c>
      <c r="AN12" s="40">
        <f>AO7</f>
        <v>1856.060606060606</v>
      </c>
      <c r="AO12" s="380" t="s">
        <v>22</v>
      </c>
      <c r="AP12" s="39">
        <f>F12</f>
        <v>50</v>
      </c>
    </row>
    <row r="13" spans="2:49" ht="15.75">
      <c r="B13" s="82"/>
      <c r="C13" s="82"/>
      <c r="D13" s="130" t="s">
        <v>222</v>
      </c>
      <c r="E13" s="82"/>
      <c r="F13" s="82"/>
      <c r="G13" s="103"/>
      <c r="H13" s="103"/>
      <c r="AM13" s="39"/>
      <c r="AN13" s="380" t="s">
        <v>222</v>
      </c>
      <c r="AO13" s="39"/>
      <c r="AP13" s="39"/>
      <c r="AQ13" s="90" t="s">
        <v>239</v>
      </c>
      <c r="AR13">
        <f>AN14</f>
        <v>108.33333333333334</v>
      </c>
      <c r="AS13">
        <f>AN14</f>
        <v>108.33333333333334</v>
      </c>
    </row>
    <row r="14" spans="2:49" ht="15.75">
      <c r="B14" s="102" t="s">
        <v>489</v>
      </c>
      <c r="C14" s="103"/>
      <c r="D14" s="103"/>
      <c r="E14" s="103"/>
      <c r="F14" s="103"/>
      <c r="G14" s="103"/>
      <c r="H14" s="92" t="s">
        <v>338</v>
      </c>
      <c r="AM14" s="380" t="s">
        <v>237</v>
      </c>
      <c r="AN14">
        <f>(AN12/AN10)+AP12</f>
        <v>108.33333333333334</v>
      </c>
      <c r="AR14">
        <v>0</v>
      </c>
      <c r="AS14">
        <f>AN10</f>
        <v>31.818181818181817</v>
      </c>
    </row>
    <row r="15" spans="2:49">
      <c r="B15" s="103"/>
      <c r="C15" s="103"/>
      <c r="D15" s="103"/>
      <c r="E15" s="103"/>
      <c r="F15" s="103"/>
      <c r="G15" s="103"/>
      <c r="H15" s="103"/>
    </row>
    <row r="16" spans="2:49" ht="15.75">
      <c r="B16" s="103"/>
      <c r="C16" s="130" t="s">
        <v>237</v>
      </c>
      <c r="D16" s="270">
        <f>AO7</f>
        <v>1856.060606060606</v>
      </c>
      <c r="E16" s="130" t="s">
        <v>22</v>
      </c>
      <c r="F16" s="82">
        <f>F12</f>
        <v>50</v>
      </c>
      <c r="G16" s="103"/>
      <c r="H16" s="103"/>
      <c r="AM16" s="1" t="s">
        <v>240</v>
      </c>
    </row>
    <row r="17" spans="1:49" ht="15.75">
      <c r="B17" s="103"/>
      <c r="C17" s="82"/>
      <c r="D17" s="130" t="s">
        <v>222</v>
      </c>
      <c r="E17" s="82"/>
      <c r="F17" s="82"/>
      <c r="G17" s="103"/>
      <c r="H17" s="103"/>
      <c r="I17" s="24"/>
      <c r="J17" s="24"/>
      <c r="K17" s="24"/>
      <c r="L17" s="24"/>
      <c r="M17" s="24"/>
      <c r="N17" s="24"/>
      <c r="O17" s="24"/>
    </row>
    <row r="18" spans="1:49" ht="15.75">
      <c r="B18" s="102"/>
      <c r="C18" s="103"/>
      <c r="D18" s="103"/>
      <c r="E18" s="103"/>
      <c r="F18" s="103"/>
      <c r="G18" s="103"/>
      <c r="H18" s="103"/>
      <c r="I18" s="24"/>
      <c r="J18" s="24"/>
      <c r="K18" s="24"/>
      <c r="L18" s="24"/>
      <c r="M18" s="24"/>
      <c r="N18" s="24"/>
      <c r="O18" s="24"/>
      <c r="AM18" s="380" t="s">
        <v>241</v>
      </c>
      <c r="AN18">
        <f>$H$8/$B$8*0</f>
        <v>0</v>
      </c>
      <c r="AO18">
        <f>$H$8/$B$8*0.2</f>
        <v>18.181818181818183</v>
      </c>
      <c r="AP18">
        <f>$H$8/$B$8*0.4</f>
        <v>36.363636363636367</v>
      </c>
      <c r="AQ18">
        <f>$H$8/$B$8*0.6</f>
        <v>54.54545454545454</v>
      </c>
      <c r="AR18">
        <f>$H$8/$B$8*0.8</f>
        <v>72.727272727272734</v>
      </c>
      <c r="AS18">
        <f>$H$8/$B$8</f>
        <v>90.909090909090907</v>
      </c>
    </row>
    <row r="19" spans="1:49" ht="15.75">
      <c r="B19" s="129" t="s">
        <v>487</v>
      </c>
      <c r="C19" s="103"/>
      <c r="D19" s="103"/>
      <c r="E19" s="103"/>
      <c r="F19" s="103"/>
      <c r="G19" s="103"/>
      <c r="H19" s="103"/>
      <c r="AM19" s="380" t="s">
        <v>242</v>
      </c>
      <c r="AN19">
        <f t="shared" ref="AN19:AS19" si="0">(-$B$8*AN18)/$E$8+($H$8/$E$8)</f>
        <v>166.66666666666666</v>
      </c>
      <c r="AO19">
        <f t="shared" si="0"/>
        <v>133.33333333333331</v>
      </c>
      <c r="AP19">
        <f t="shared" si="0"/>
        <v>99.999999999999986</v>
      </c>
      <c r="AQ19">
        <f t="shared" si="0"/>
        <v>66.666666666666671</v>
      </c>
      <c r="AR19">
        <f t="shared" si="0"/>
        <v>33.333333333333314</v>
      </c>
      <c r="AS19">
        <f t="shared" si="0"/>
        <v>0</v>
      </c>
    </row>
    <row r="20" spans="1:49" ht="15.75">
      <c r="A20" s="24"/>
      <c r="B20" s="103"/>
      <c r="C20" s="130" t="s">
        <v>235</v>
      </c>
      <c r="D20" s="129">
        <f>-AO3/(2*AM3)</f>
        <v>31.818181818181817</v>
      </c>
      <c r="E20" s="130" t="s">
        <v>237</v>
      </c>
      <c r="F20" s="172">
        <f>(AN12/AN10)+AP12</f>
        <v>108.33333333333334</v>
      </c>
      <c r="G20" s="103"/>
      <c r="H20" s="103"/>
    </row>
    <row r="21" spans="1:49">
      <c r="B21" s="130"/>
      <c r="C21" s="103"/>
      <c r="D21" s="103"/>
      <c r="E21" s="130"/>
      <c r="F21" s="103"/>
      <c r="G21" s="103"/>
      <c r="H21" s="103"/>
      <c r="AM21" s="1" t="s">
        <v>243</v>
      </c>
    </row>
    <row r="22" spans="1:49">
      <c r="A22" s="103"/>
      <c r="B22" s="103"/>
      <c r="C22" s="103"/>
      <c r="D22" s="103"/>
      <c r="E22" s="103"/>
      <c r="F22" s="103"/>
      <c r="G22" s="103"/>
    </row>
    <row r="23" spans="1:49" ht="15.75">
      <c r="A23" s="407" t="s">
        <v>492</v>
      </c>
      <c r="B23" s="56"/>
      <c r="C23" s="56"/>
      <c r="D23" s="103"/>
      <c r="E23" s="103"/>
      <c r="F23" s="103"/>
      <c r="G23" s="103"/>
      <c r="AM23" s="380" t="s">
        <v>241</v>
      </c>
      <c r="AN23">
        <f>$AN$10*0.7</f>
        <v>22.27272727272727</v>
      </c>
      <c r="AO23">
        <f>$AN$10*0.8</f>
        <v>25.454545454545453</v>
      </c>
      <c r="AP23">
        <f>$AN$10*0.9</f>
        <v>28.636363636363637</v>
      </c>
      <c r="AQ23" s="1">
        <f>$AN$10</f>
        <v>31.818181818181817</v>
      </c>
      <c r="AR23">
        <f>$AN$10*1.1</f>
        <v>35</v>
      </c>
      <c r="AS23">
        <f>$AN$10*1.3</f>
        <v>41.36363636363636</v>
      </c>
    </row>
    <row r="24" spans="1:49" ht="15.75">
      <c r="A24" s="130" t="s">
        <v>197</v>
      </c>
      <c r="B24" s="130" t="s">
        <v>231</v>
      </c>
      <c r="C24" s="103"/>
      <c r="D24" s="130" t="s">
        <v>198</v>
      </c>
      <c r="E24" s="103"/>
      <c r="F24" s="103"/>
      <c r="G24" s="130" t="s">
        <v>199</v>
      </c>
      <c r="AM24" s="380" t="s">
        <v>242</v>
      </c>
      <c r="AN24">
        <f t="shared" ref="AN24:AS24" si="1">($AO$7/AN23)+$F$12</f>
        <v>133.33333333333334</v>
      </c>
      <c r="AO24">
        <f t="shared" si="1"/>
        <v>122.91666666666667</v>
      </c>
      <c r="AP24">
        <f t="shared" si="1"/>
        <v>114.81481481481481</v>
      </c>
      <c r="AQ24" s="1">
        <f t="shared" si="1"/>
        <v>108.33333333333334</v>
      </c>
      <c r="AR24">
        <f t="shared" si="1"/>
        <v>103.03030303030303</v>
      </c>
      <c r="AS24">
        <f t="shared" si="1"/>
        <v>94.871794871794876</v>
      </c>
      <c r="AW24" s="1"/>
    </row>
    <row r="25" spans="1:49" ht="15.75">
      <c r="A25" s="131">
        <f>AV52</f>
        <v>17.023809523809522</v>
      </c>
      <c r="B25" s="410">
        <v>70</v>
      </c>
      <c r="C25" s="130" t="s">
        <v>22</v>
      </c>
      <c r="D25" s="131">
        <f>AX52</f>
        <v>6</v>
      </c>
      <c r="E25" s="130" t="s">
        <v>232</v>
      </c>
      <c r="F25" s="130" t="s">
        <v>159</v>
      </c>
      <c r="G25" s="82">
        <f>BA52</f>
        <v>1191.6666666666665</v>
      </c>
      <c r="AW25" s="1"/>
    </row>
    <row r="26" spans="1:49">
      <c r="A26" s="103"/>
      <c r="B26" s="103"/>
      <c r="C26" s="103"/>
      <c r="D26" s="103"/>
      <c r="E26" s="103"/>
      <c r="F26" s="103"/>
      <c r="G26" s="103"/>
    </row>
    <row r="27" spans="1:49" ht="18">
      <c r="A27" s="407" t="s">
        <v>503</v>
      </c>
      <c r="B27" s="56"/>
      <c r="C27" s="56"/>
      <c r="D27" s="56"/>
      <c r="E27" s="103"/>
      <c r="F27" s="103"/>
      <c r="G27" s="103"/>
      <c r="AM27" s="66">
        <v>2</v>
      </c>
    </row>
    <row r="28" spans="1:49">
      <c r="A28" s="103"/>
      <c r="B28" s="103"/>
      <c r="C28" s="103"/>
      <c r="D28" s="103"/>
      <c r="E28" s="103"/>
      <c r="F28" s="103"/>
      <c r="G28" s="103"/>
      <c r="AM28" s="90" t="s">
        <v>244</v>
      </c>
    </row>
    <row r="29" spans="1:49" ht="16.5">
      <c r="A29" s="82"/>
      <c r="B29" s="130" t="s">
        <v>237</v>
      </c>
      <c r="C29" s="269" t="s">
        <v>238</v>
      </c>
      <c r="D29" s="130" t="s">
        <v>22</v>
      </c>
      <c r="E29" s="150">
        <v>30</v>
      </c>
      <c r="F29" s="103"/>
      <c r="G29" s="103"/>
    </row>
    <row r="30" spans="1:49" ht="16.5">
      <c r="A30" s="82"/>
      <c r="B30" s="82"/>
      <c r="C30" s="130" t="s">
        <v>222</v>
      </c>
      <c r="D30" s="82"/>
      <c r="E30" s="82"/>
      <c r="F30" s="103"/>
      <c r="G30" s="103"/>
      <c r="AM30" s="39">
        <f>A25</f>
        <v>17.023809523809522</v>
      </c>
      <c r="AN30" s="380" t="s">
        <v>225</v>
      </c>
      <c r="AO30" s="39">
        <f>(-G25+(D25*E29))</f>
        <v>-1011.6666666666665</v>
      </c>
      <c r="AP30" s="380" t="s">
        <v>226</v>
      </c>
      <c r="AQ30" s="39">
        <f>D25</f>
        <v>6</v>
      </c>
      <c r="AR30" s="41" t="s">
        <v>227</v>
      </c>
      <c r="AS30" s="380"/>
    </row>
    <row r="31" spans="1:49">
      <c r="A31" s="102" t="s">
        <v>494</v>
      </c>
      <c r="B31" s="103"/>
      <c r="C31" s="103"/>
      <c r="D31" s="103"/>
      <c r="E31" s="103"/>
      <c r="F31" s="103"/>
      <c r="G31" s="103"/>
    </row>
    <row r="32" spans="1:49" ht="15">
      <c r="A32" s="103"/>
      <c r="B32" s="103"/>
      <c r="C32" s="103"/>
      <c r="D32" s="103"/>
      <c r="E32" s="103"/>
      <c r="F32" s="103"/>
      <c r="G32" s="103"/>
      <c r="AM32" s="90" t="s">
        <v>228</v>
      </c>
      <c r="AN32">
        <f>AO30^2</f>
        <v>1023469.4444444441</v>
      </c>
      <c r="AO32" s="90" t="s">
        <v>229</v>
      </c>
      <c r="AP32">
        <f>4*AM30*AQ30</f>
        <v>408.57142857142856</v>
      </c>
      <c r="AQ32" s="41" t="s">
        <v>230</v>
      </c>
      <c r="AW32" s="39"/>
    </row>
    <row r="33" spans="1:53" ht="16.5">
      <c r="A33" s="103"/>
      <c r="B33" s="130" t="s">
        <v>237</v>
      </c>
      <c r="C33" s="270">
        <f>AO34</f>
        <v>2504.9951437451432</v>
      </c>
      <c r="D33" s="130" t="s">
        <v>22</v>
      </c>
      <c r="E33" s="82">
        <f>E29</f>
        <v>30</v>
      </c>
      <c r="F33" s="103"/>
      <c r="G33" s="103"/>
      <c r="AH33" s="41"/>
      <c r="AI33" s="380"/>
    </row>
    <row r="34" spans="1:53" ht="16.5">
      <c r="A34" s="103"/>
      <c r="B34" s="82"/>
      <c r="C34" s="130" t="s">
        <v>222</v>
      </c>
      <c r="D34" s="82"/>
      <c r="E34" s="82"/>
      <c r="F34" s="103"/>
      <c r="G34" s="103"/>
      <c r="AN34" s="41" t="s">
        <v>233</v>
      </c>
      <c r="AO34">
        <f>-(-AO30^2)/-AP32</f>
        <v>2504.9951437451432</v>
      </c>
    </row>
    <row r="35" spans="1:53">
      <c r="A35" s="102"/>
      <c r="B35" s="103"/>
      <c r="C35" s="103"/>
      <c r="D35" s="103"/>
      <c r="E35" s="103"/>
      <c r="F35" s="103"/>
      <c r="G35" s="103"/>
      <c r="O35" s="93" t="s">
        <v>338</v>
      </c>
      <c r="AM35" s="90" t="s">
        <v>245</v>
      </c>
    </row>
    <row r="36" spans="1:53">
      <c r="A36" s="129" t="s">
        <v>490</v>
      </c>
      <c r="B36" s="103"/>
      <c r="C36" s="103"/>
      <c r="D36" s="103"/>
      <c r="E36" s="103"/>
      <c r="F36" s="103"/>
      <c r="G36" s="103"/>
    </row>
    <row r="37" spans="1:53" ht="24" customHeight="1">
      <c r="A37" s="103"/>
      <c r="B37" s="130" t="s">
        <v>235</v>
      </c>
      <c r="C37" s="129">
        <f>-AO30/(2*AM30)</f>
        <v>29.713286713286713</v>
      </c>
      <c r="D37" s="130" t="s">
        <v>237</v>
      </c>
      <c r="E37" s="172">
        <f>(AN39/AN37)+AP39</f>
        <v>114.30555555555554</v>
      </c>
      <c r="F37" s="103"/>
      <c r="G37" s="103"/>
      <c r="L37" s="82"/>
      <c r="M37" s="419"/>
      <c r="N37" s="278" t="s">
        <v>281</v>
      </c>
      <c r="O37" s="419"/>
      <c r="P37" s="278" t="s">
        <v>282</v>
      </c>
      <c r="Q37" s="419"/>
      <c r="R37" s="419"/>
      <c r="S37" s="82"/>
      <c r="AM37" s="380" t="s">
        <v>235</v>
      </c>
      <c r="AN37">
        <f>-AO30/(2*AM30)</f>
        <v>29.713286713286713</v>
      </c>
      <c r="AQ37" s="90" t="s">
        <v>236</v>
      </c>
      <c r="AR37">
        <f>AN37</f>
        <v>29.713286713286713</v>
      </c>
      <c r="AS37">
        <f>AN37</f>
        <v>29.713286713286713</v>
      </c>
    </row>
    <row r="38" spans="1:53" ht="24" customHeight="1">
      <c r="A38" s="103"/>
      <c r="B38" s="103"/>
      <c r="C38" s="103"/>
      <c r="D38" s="103"/>
      <c r="E38" s="103"/>
      <c r="F38" s="103"/>
      <c r="G38" s="103"/>
      <c r="L38" s="82"/>
      <c r="M38" s="278" t="s">
        <v>283</v>
      </c>
      <c r="N38" s="279">
        <f>AQ91</f>
        <v>-5.9720279720279663</v>
      </c>
      <c r="O38" s="279" t="s">
        <v>22</v>
      </c>
      <c r="P38" s="126">
        <f>AT91</f>
        <v>-3.8671328671328631</v>
      </c>
      <c r="Q38" s="279" t="s">
        <v>159</v>
      </c>
      <c r="R38" s="280">
        <f>N38+P38</f>
        <v>-9.8391608391608294</v>
      </c>
      <c r="S38" s="82"/>
      <c r="AR38">
        <v>0</v>
      </c>
      <c r="AS38">
        <f>AN41</f>
        <v>114.30555555555554</v>
      </c>
    </row>
    <row r="39" spans="1:53" ht="15.75">
      <c r="B39" s="103"/>
      <c r="C39" s="103"/>
      <c r="D39" s="103"/>
      <c r="E39" s="103"/>
      <c r="F39" s="103"/>
      <c r="G39" s="103"/>
      <c r="H39" s="103"/>
      <c r="R39">
        <f>AN91</f>
        <v>-2.1048951048951032</v>
      </c>
      <c r="AM39" s="380" t="s">
        <v>237</v>
      </c>
      <c r="AN39" s="40">
        <f>AO34</f>
        <v>2504.9951437451432</v>
      </c>
      <c r="AO39" s="380" t="s">
        <v>22</v>
      </c>
      <c r="AP39" s="39">
        <f>E29</f>
        <v>30</v>
      </c>
    </row>
    <row r="40" spans="1:53" ht="15.75">
      <c r="B40" s="57" t="s">
        <v>493</v>
      </c>
      <c r="C40" s="57"/>
      <c r="D40" s="57"/>
      <c r="E40" s="103"/>
      <c r="F40" s="103"/>
      <c r="G40" s="103"/>
      <c r="H40" s="103"/>
      <c r="AM40" s="39"/>
      <c r="AN40" s="380" t="s">
        <v>222</v>
      </c>
      <c r="AO40" s="39"/>
      <c r="AP40" s="39"/>
      <c r="AQ40" s="90" t="s">
        <v>239</v>
      </c>
      <c r="AR40">
        <f>AN41</f>
        <v>114.30555555555554</v>
      </c>
      <c r="AS40">
        <f>AN41</f>
        <v>114.30555555555554</v>
      </c>
      <c r="AU40" s="67" t="s">
        <v>297</v>
      </c>
      <c r="AV40" s="68"/>
      <c r="AW40" s="69" t="s">
        <v>298</v>
      </c>
      <c r="AX40" s="68"/>
      <c r="AY40" s="68"/>
      <c r="AZ40" s="68"/>
      <c r="BA40" s="70"/>
    </row>
    <row r="41" spans="1:53" ht="15.75">
      <c r="B41" s="130" t="s">
        <v>197</v>
      </c>
      <c r="C41" s="103"/>
      <c r="D41" s="103"/>
      <c r="E41" s="130" t="s">
        <v>198</v>
      </c>
      <c r="F41" s="103"/>
      <c r="G41" s="103"/>
      <c r="H41" s="130" t="s">
        <v>199</v>
      </c>
      <c r="AM41" s="380" t="s">
        <v>237</v>
      </c>
      <c r="AN41">
        <f>(AN39/AN37)+AP39</f>
        <v>114.30555555555554</v>
      </c>
      <c r="AR41">
        <v>0</v>
      </c>
      <c r="AS41">
        <f>AN37</f>
        <v>29.713286713286713</v>
      </c>
      <c r="AU41" s="52"/>
      <c r="AV41" s="53"/>
      <c r="AW41" s="53"/>
      <c r="AX41" s="53"/>
      <c r="AY41" s="53"/>
      <c r="AZ41" s="53"/>
      <c r="BA41" s="71"/>
    </row>
    <row r="42" spans="1:53" ht="15.75">
      <c r="B42" s="131">
        <f>A25</f>
        <v>17.023809523809522</v>
      </c>
      <c r="C42" s="130" t="s">
        <v>231</v>
      </c>
      <c r="D42" s="130" t="s">
        <v>22</v>
      </c>
      <c r="E42" s="131">
        <f>D25</f>
        <v>6</v>
      </c>
      <c r="F42" s="130" t="s">
        <v>232</v>
      </c>
      <c r="G42" s="130" t="s">
        <v>159</v>
      </c>
      <c r="H42" s="150">
        <v>1000</v>
      </c>
      <c r="AU42" s="52" t="s">
        <v>170</v>
      </c>
      <c r="AV42" s="53"/>
      <c r="AW42" s="411" t="s">
        <v>195</v>
      </c>
      <c r="AX42" s="53"/>
      <c r="AY42" s="53"/>
      <c r="AZ42" s="53"/>
      <c r="BA42" s="71"/>
    </row>
    <row r="43" spans="1:53">
      <c r="B43" s="103"/>
      <c r="C43" s="103"/>
      <c r="D43" s="103"/>
      <c r="E43" s="103"/>
      <c r="F43" s="103"/>
      <c r="G43" s="103"/>
      <c r="H43" s="103"/>
      <c r="AM43" s="1" t="s">
        <v>246</v>
      </c>
      <c r="AU43" s="52">
        <f>D20</f>
        <v>31.818181818181817</v>
      </c>
      <c r="AV43" s="53"/>
      <c r="AW43" s="72">
        <f>B25</f>
        <v>70</v>
      </c>
      <c r="AX43" s="53"/>
      <c r="AY43" s="53"/>
      <c r="AZ43" s="53"/>
      <c r="BA43" s="71"/>
    </row>
    <row r="44" spans="1:53">
      <c r="B44" s="57" t="s">
        <v>504</v>
      </c>
      <c r="C44" s="57"/>
      <c r="D44" s="57"/>
      <c r="E44" s="57"/>
      <c r="F44" s="103"/>
      <c r="G44" s="103"/>
      <c r="H44" s="103"/>
      <c r="AU44" s="52" t="s">
        <v>171</v>
      </c>
      <c r="AV44" s="53"/>
      <c r="AW44" s="411" t="s">
        <v>196</v>
      </c>
      <c r="AX44" s="53"/>
      <c r="AY44" s="53"/>
      <c r="AZ44" s="53"/>
      <c r="BA44" s="71"/>
    </row>
    <row r="45" spans="1:53" ht="15.75">
      <c r="B45" s="103"/>
      <c r="C45" s="103"/>
      <c r="D45" s="103"/>
      <c r="E45" s="103"/>
      <c r="F45" s="103"/>
      <c r="G45" s="103"/>
      <c r="H45" s="103"/>
      <c r="AM45" s="380" t="s">
        <v>241</v>
      </c>
      <c r="AN45">
        <f>$G$25/$A$25*0</f>
        <v>0</v>
      </c>
      <c r="AO45">
        <f>$G$25/$A$25*0.2</f>
        <v>14</v>
      </c>
      <c r="AP45">
        <f>$G$25/$A$25*0.4</f>
        <v>28</v>
      </c>
      <c r="AQ45">
        <f>$G$25/$A$25*0.6</f>
        <v>42</v>
      </c>
      <c r="AR45">
        <f>$G$25/$A$25*0.8</f>
        <v>56</v>
      </c>
      <c r="AS45">
        <f>$G$25/$A$25</f>
        <v>70</v>
      </c>
      <c r="AU45" s="73">
        <f>F20</f>
        <v>108.33333333333334</v>
      </c>
      <c r="AV45" s="53"/>
      <c r="AW45" s="53">
        <v>0</v>
      </c>
      <c r="AX45" s="53"/>
      <c r="AY45" s="53"/>
      <c r="AZ45" s="53"/>
      <c r="BA45" s="71"/>
    </row>
    <row r="46" spans="1:53" ht="16.5">
      <c r="B46" s="82"/>
      <c r="C46" s="130" t="s">
        <v>237</v>
      </c>
      <c r="D46" s="269" t="s">
        <v>238</v>
      </c>
      <c r="E46" s="130" t="s">
        <v>22</v>
      </c>
      <c r="F46" s="150">
        <v>20</v>
      </c>
      <c r="G46" s="103"/>
      <c r="H46" s="103"/>
      <c r="AM46" s="380" t="s">
        <v>242</v>
      </c>
      <c r="AN46">
        <f t="shared" ref="AN46:AS46" si="2">(-$A$25*AN45)/$D$25+($G$25/$D$25)</f>
        <v>198.61111111111109</v>
      </c>
      <c r="AO46">
        <f t="shared" si="2"/>
        <v>158.88888888888886</v>
      </c>
      <c r="AP46">
        <f t="shared" si="2"/>
        <v>119.16666666666664</v>
      </c>
      <c r="AQ46">
        <f t="shared" si="2"/>
        <v>79.444444444444443</v>
      </c>
      <c r="AR46">
        <f t="shared" si="2"/>
        <v>39.7222222222222</v>
      </c>
      <c r="AS46">
        <f t="shared" si="2"/>
        <v>0</v>
      </c>
      <c r="AU46" s="52"/>
      <c r="AV46" s="53"/>
      <c r="AW46" s="53"/>
      <c r="AX46" s="53"/>
      <c r="AY46" s="53"/>
      <c r="AZ46" s="53"/>
      <c r="BA46" s="71"/>
    </row>
    <row r="47" spans="1:53" ht="15.75">
      <c r="B47" s="82"/>
      <c r="C47" s="82"/>
      <c r="D47" s="130" t="s">
        <v>222</v>
      </c>
      <c r="E47" s="82"/>
      <c r="F47" s="82"/>
      <c r="G47" s="103"/>
      <c r="H47" s="103"/>
      <c r="AM47" s="380" t="s">
        <v>242</v>
      </c>
      <c r="AN47">
        <f t="shared" ref="AN47:AS47" si="3">$AX$47*AN45+$BA$47</f>
        <v>198.61111111111109</v>
      </c>
      <c r="AO47">
        <f t="shared" si="3"/>
        <v>158.88888888888886</v>
      </c>
      <c r="AP47">
        <f t="shared" si="3"/>
        <v>119.16666666666666</v>
      </c>
      <c r="AQ47">
        <f t="shared" si="3"/>
        <v>79.444444444444429</v>
      </c>
      <c r="AR47">
        <f t="shared" si="3"/>
        <v>39.722222222222229</v>
      </c>
      <c r="AS47">
        <f t="shared" si="3"/>
        <v>0</v>
      </c>
      <c r="AU47" s="412" t="s">
        <v>268</v>
      </c>
      <c r="AV47" s="53"/>
      <c r="AW47" s="413" t="s">
        <v>269</v>
      </c>
      <c r="AX47" s="411">
        <f>(AW45-AU45)/(AW43-AU43)</f>
        <v>-2.837301587301587</v>
      </c>
      <c r="AY47" s="411" t="s">
        <v>170</v>
      </c>
      <c r="AZ47" s="411" t="s">
        <v>22</v>
      </c>
      <c r="BA47" s="71">
        <f>-(AW45-AU45)/(AW43-AU43)*AU43+AU45</f>
        <v>198.61111111111109</v>
      </c>
    </row>
    <row r="48" spans="1:53">
      <c r="B48" s="102" t="s">
        <v>494</v>
      </c>
      <c r="C48" s="103"/>
      <c r="D48" s="103"/>
      <c r="E48" s="103"/>
      <c r="F48" s="103"/>
      <c r="G48" s="103"/>
      <c r="H48" s="103"/>
      <c r="AM48" s="1" t="s">
        <v>247</v>
      </c>
      <c r="AU48" s="52"/>
      <c r="AV48" s="53"/>
      <c r="AW48" s="53"/>
      <c r="AX48" s="53"/>
      <c r="AY48" s="53"/>
      <c r="AZ48" s="53"/>
      <c r="BA48" s="71"/>
    </row>
    <row r="49" spans="1:53">
      <c r="B49" s="103"/>
      <c r="C49" s="103"/>
      <c r="D49" s="103"/>
      <c r="E49" s="103"/>
      <c r="F49" s="103"/>
      <c r="G49" s="103"/>
      <c r="H49" s="103"/>
      <c r="AU49" s="412" t="s">
        <v>268</v>
      </c>
      <c r="AV49" s="53"/>
      <c r="AW49" s="53"/>
      <c r="AX49" s="53"/>
      <c r="AY49" s="53"/>
      <c r="AZ49" s="53"/>
      <c r="BA49" s="71"/>
    </row>
    <row r="50" spans="1:53" ht="15.75">
      <c r="B50" s="103"/>
      <c r="C50" s="130" t="s">
        <v>237</v>
      </c>
      <c r="D50" s="270">
        <f>AO61</f>
        <v>1895.3846153846155</v>
      </c>
      <c r="E50" s="130" t="s">
        <v>22</v>
      </c>
      <c r="F50" s="82">
        <f>F46</f>
        <v>20</v>
      </c>
      <c r="G50" s="103"/>
      <c r="H50" s="103"/>
      <c r="AM50" s="380" t="s">
        <v>241</v>
      </c>
      <c r="AN50" s="90">
        <f>$AN$37*0.7</f>
        <v>20.799300699300698</v>
      </c>
      <c r="AO50" s="90">
        <f>$AN$37*0.8</f>
        <v>23.770629370629372</v>
      </c>
      <c r="AP50" s="90">
        <f>$AN$37*0.9</f>
        <v>26.741958041958043</v>
      </c>
      <c r="AQ50" s="1">
        <f>$AN$37</f>
        <v>29.713286713286713</v>
      </c>
      <c r="AR50" s="90">
        <f>$AN$37*1.1</f>
        <v>32.684615384615384</v>
      </c>
      <c r="AS50" s="90">
        <f>$AN$37*1.3</f>
        <v>38.627272727272725</v>
      </c>
      <c r="AU50" s="52"/>
      <c r="AV50" s="53"/>
      <c r="AW50" s="53" t="s">
        <v>299</v>
      </c>
      <c r="AX50" s="53">
        <f>E8</f>
        <v>6</v>
      </c>
      <c r="AY50" s="53"/>
      <c r="AZ50" s="53"/>
      <c r="BA50" s="71"/>
    </row>
    <row r="51" spans="1:53" ht="15.75">
      <c r="B51" s="103"/>
      <c r="C51" s="82"/>
      <c r="D51" s="130" t="s">
        <v>222</v>
      </c>
      <c r="E51" s="82"/>
      <c r="F51" s="82"/>
      <c r="G51" s="103"/>
      <c r="H51" s="103"/>
      <c r="AM51" s="380" t="s">
        <v>242</v>
      </c>
      <c r="AN51" s="90">
        <f t="shared" ref="AN51:AS51" si="4">($AO$34/AN50)+$E$29</f>
        <v>150.43650793650792</v>
      </c>
      <c r="AO51" s="90">
        <f t="shared" si="4"/>
        <v>135.3819444444444</v>
      </c>
      <c r="AP51" s="90">
        <f t="shared" si="4"/>
        <v>123.67283950617282</v>
      </c>
      <c r="AQ51" s="1">
        <f t="shared" si="4"/>
        <v>114.30555555555554</v>
      </c>
      <c r="AR51" s="90">
        <f t="shared" si="4"/>
        <v>106.64141414141413</v>
      </c>
      <c r="AS51" s="90">
        <f t="shared" si="4"/>
        <v>94.850427350427339</v>
      </c>
      <c r="AU51" s="52"/>
      <c r="AV51" s="53"/>
      <c r="AW51" s="53"/>
      <c r="AX51" s="53"/>
      <c r="AY51" s="53"/>
      <c r="AZ51" s="53"/>
      <c r="BA51" s="71"/>
    </row>
    <row r="52" spans="1:53" ht="15.75">
      <c r="B52" s="102"/>
      <c r="C52" s="103"/>
      <c r="D52" s="103"/>
      <c r="E52" s="103"/>
      <c r="F52" s="103"/>
      <c r="G52" s="103"/>
      <c r="H52" s="103"/>
      <c r="AU52" s="74"/>
      <c r="AV52" s="54">
        <f>-AX50*AX47</f>
        <v>17.023809523809522</v>
      </c>
      <c r="AW52" s="414" t="s">
        <v>300</v>
      </c>
      <c r="AX52" s="54">
        <f>AX50</f>
        <v>6</v>
      </c>
      <c r="AY52" s="414" t="s">
        <v>242</v>
      </c>
      <c r="AZ52" s="54" t="s">
        <v>159</v>
      </c>
      <c r="BA52" s="75">
        <f>BA47*AX50</f>
        <v>1191.6666666666665</v>
      </c>
    </row>
    <row r="53" spans="1:53">
      <c r="B53" s="129" t="s">
        <v>491</v>
      </c>
      <c r="C53" s="103"/>
      <c r="D53" s="103"/>
      <c r="E53" s="103"/>
      <c r="F53" s="103"/>
      <c r="G53" s="103"/>
      <c r="H53" s="103"/>
      <c r="AW53" s="1"/>
    </row>
    <row r="54" spans="1:53" ht="18.75">
      <c r="B54" s="103"/>
      <c r="C54" s="130" t="s">
        <v>235</v>
      </c>
      <c r="D54" s="129">
        <f>-AO57/(2*AM57)</f>
        <v>25.84615384615385</v>
      </c>
      <c r="E54" s="130" t="s">
        <v>237</v>
      </c>
      <c r="F54" s="172">
        <f>(AN66/AN64)+AP66</f>
        <v>93.333333333333329</v>
      </c>
      <c r="G54" s="103"/>
      <c r="H54" s="103"/>
      <c r="AM54" s="66">
        <v>3</v>
      </c>
    </row>
    <row r="55" spans="1:53">
      <c r="B55" s="103"/>
      <c r="C55" s="103"/>
      <c r="D55" s="103"/>
      <c r="E55" s="103"/>
      <c r="F55" s="103"/>
      <c r="G55" s="103"/>
      <c r="H55" s="103"/>
      <c r="AM55" s="90" t="s">
        <v>263</v>
      </c>
    </row>
    <row r="56" spans="1:53">
      <c r="A56" s="31"/>
      <c r="B56" s="31"/>
      <c r="C56" s="31"/>
      <c r="D56" s="31"/>
      <c r="E56" s="31"/>
      <c r="F56" s="31"/>
      <c r="G56" s="31"/>
    </row>
    <row r="57" spans="1:53" ht="15">
      <c r="A57" s="1" t="s">
        <v>506</v>
      </c>
      <c r="B57" s="59"/>
      <c r="C57" s="59"/>
      <c r="D57" s="31"/>
      <c r="E57" s="31"/>
      <c r="F57" s="31"/>
      <c r="G57" s="31"/>
      <c r="AM57" s="39">
        <f>B42</f>
        <v>17.023809523809522</v>
      </c>
      <c r="AN57" s="380" t="s">
        <v>225</v>
      </c>
      <c r="AO57" s="39">
        <f>(-H42+(E42*F46))</f>
        <v>-880</v>
      </c>
      <c r="AP57" s="380" t="s">
        <v>226</v>
      </c>
      <c r="AQ57" s="39">
        <f>E42</f>
        <v>6</v>
      </c>
      <c r="AR57" s="41" t="s">
        <v>227</v>
      </c>
      <c r="AS57" s="380"/>
    </row>
    <row r="58" spans="1:53">
      <c r="A58" s="1" t="s">
        <v>505</v>
      </c>
      <c r="B58" s="31"/>
      <c r="C58" s="31"/>
      <c r="D58" s="402"/>
      <c r="E58" s="31"/>
      <c r="F58" s="31"/>
      <c r="G58" s="402"/>
      <c r="AT58" s="380"/>
      <c r="AU58" s="39"/>
      <c r="AV58" s="380"/>
      <c r="AW58" s="39"/>
    </row>
    <row r="59" spans="1:53" ht="15">
      <c r="A59" s="301" t="s">
        <v>301</v>
      </c>
      <c r="B59" s="288"/>
      <c r="C59" s="288"/>
      <c r="D59" s="288"/>
      <c r="E59" s="402"/>
      <c r="F59" s="402"/>
      <c r="G59" s="29"/>
      <c r="AH59" s="41"/>
      <c r="AI59" s="380"/>
      <c r="AM59" s="90" t="s">
        <v>228</v>
      </c>
      <c r="AN59">
        <f>AO57^2</f>
        <v>774400</v>
      </c>
      <c r="AO59" s="90" t="s">
        <v>229</v>
      </c>
      <c r="AP59">
        <f>4*AM57*AQ57</f>
        <v>408.57142857142856</v>
      </c>
      <c r="AQ59" s="41" t="s">
        <v>230</v>
      </c>
    </row>
    <row r="60" spans="1:53" ht="15">
      <c r="A60" s="31"/>
      <c r="B60" s="31"/>
      <c r="C60" s="31"/>
      <c r="D60" s="31"/>
      <c r="E60" s="31"/>
      <c r="F60" s="31"/>
      <c r="G60" s="31"/>
      <c r="AU60" s="90"/>
      <c r="AW60" s="41"/>
    </row>
    <row r="61" spans="1:53" ht="15">
      <c r="A61" s="59"/>
      <c r="B61" s="59"/>
      <c r="C61" s="59"/>
      <c r="D61" s="59"/>
      <c r="E61" s="31"/>
      <c r="F61" s="31"/>
      <c r="G61" s="31"/>
      <c r="AN61" s="41" t="s">
        <v>233</v>
      </c>
      <c r="AO61">
        <f>-(-AO57^2)/-AP59</f>
        <v>1895.3846153846155</v>
      </c>
    </row>
    <row r="62" spans="1:53" ht="15">
      <c r="A62" s="31"/>
      <c r="B62" s="31"/>
      <c r="C62" s="31"/>
      <c r="D62" s="31"/>
      <c r="E62" s="31"/>
      <c r="F62" s="31"/>
      <c r="G62" s="31"/>
      <c r="AM62" s="90" t="s">
        <v>264</v>
      </c>
      <c r="AT62" s="41"/>
    </row>
    <row r="63" spans="1:53" ht="15">
      <c r="A63" s="29"/>
      <c r="B63" s="402"/>
      <c r="C63" s="60"/>
      <c r="D63" s="402"/>
      <c r="E63" s="29"/>
      <c r="F63" s="31"/>
      <c r="G63" s="31"/>
    </row>
    <row r="64" spans="1:53" ht="15.75">
      <c r="A64" s="430" t="s">
        <v>518</v>
      </c>
      <c r="B64" s="103"/>
      <c r="C64" s="402"/>
      <c r="D64" s="29"/>
      <c r="E64" s="29"/>
      <c r="F64" s="31"/>
      <c r="G64" s="31"/>
      <c r="AM64" s="380" t="s">
        <v>235</v>
      </c>
      <c r="AN64">
        <f>-AO57/(2*AM57)</f>
        <v>25.84615384615385</v>
      </c>
      <c r="AQ64" s="90" t="s">
        <v>236</v>
      </c>
      <c r="AR64">
        <f>AN64</f>
        <v>25.84615384615385</v>
      </c>
      <c r="AS64">
        <f>AN64</f>
        <v>25.84615384615385</v>
      </c>
    </row>
    <row r="65" spans="1:48">
      <c r="A65" s="431" t="s">
        <v>510</v>
      </c>
      <c r="B65" s="432"/>
      <c r="C65" s="31"/>
      <c r="D65" s="31"/>
      <c r="E65" s="31"/>
      <c r="F65" s="31"/>
      <c r="G65" s="31"/>
      <c r="AR65">
        <v>0</v>
      </c>
      <c r="AS65">
        <f>AN68</f>
        <v>93.333333333333329</v>
      </c>
    </row>
    <row r="66" spans="1:48" ht="15.75">
      <c r="A66" s="431" t="s">
        <v>511</v>
      </c>
      <c r="B66" s="432"/>
      <c r="C66" s="31"/>
      <c r="D66" s="31"/>
      <c r="E66" s="31"/>
      <c r="F66" s="31"/>
      <c r="G66" s="31"/>
      <c r="AM66" s="380" t="s">
        <v>237</v>
      </c>
      <c r="AN66" s="40">
        <f>AO61</f>
        <v>1895.3846153846155</v>
      </c>
      <c r="AO66" s="380" t="s">
        <v>22</v>
      </c>
      <c r="AP66" s="39">
        <f>F46</f>
        <v>20</v>
      </c>
    </row>
    <row r="67" spans="1:48" ht="15.75">
      <c r="A67" s="431" t="s">
        <v>512</v>
      </c>
      <c r="B67" s="432"/>
      <c r="C67" s="61"/>
      <c r="D67" s="402"/>
      <c r="E67" s="62"/>
      <c r="F67" s="31"/>
      <c r="G67" s="31"/>
      <c r="AM67" s="39"/>
      <c r="AN67" s="380" t="s">
        <v>222</v>
      </c>
      <c r="AO67" s="39"/>
      <c r="AP67" s="39"/>
      <c r="AQ67" s="90" t="s">
        <v>239</v>
      </c>
      <c r="AR67">
        <f>AN68</f>
        <v>93.333333333333329</v>
      </c>
      <c r="AS67">
        <f>AN68</f>
        <v>93.333333333333329</v>
      </c>
      <c r="AT67" s="40"/>
      <c r="AU67" s="380"/>
      <c r="AV67" s="39"/>
    </row>
    <row r="68" spans="1:48" ht="15.75">
      <c r="A68" s="431" t="s">
        <v>513</v>
      </c>
      <c r="B68" s="432"/>
      <c r="C68" s="402"/>
      <c r="D68" s="29"/>
      <c r="E68" s="29"/>
      <c r="F68" s="31"/>
      <c r="G68" s="31"/>
      <c r="AM68" s="380" t="s">
        <v>237</v>
      </c>
      <c r="AN68">
        <f>(AN66/AN64)+AP66</f>
        <v>93.333333333333329</v>
      </c>
      <c r="AR68">
        <v>0</v>
      </c>
      <c r="AS68">
        <f>AN64</f>
        <v>25.84615384615385</v>
      </c>
      <c r="AT68" s="380"/>
      <c r="AU68" s="39"/>
      <c r="AV68" s="39"/>
    </row>
    <row r="69" spans="1:48">
      <c r="A69" s="431" t="s">
        <v>514</v>
      </c>
      <c r="B69" s="432"/>
      <c r="C69" s="31"/>
      <c r="D69" s="31"/>
      <c r="E69" s="31"/>
      <c r="F69" s="31"/>
      <c r="G69" s="31"/>
    </row>
    <row r="70" spans="1:48">
      <c r="A70" s="431" t="s">
        <v>515</v>
      </c>
      <c r="B70" s="431"/>
      <c r="C70" s="31"/>
      <c r="D70" s="31"/>
      <c r="E70" s="31"/>
      <c r="F70" s="31"/>
      <c r="G70" s="31"/>
      <c r="AM70" s="1" t="s">
        <v>265</v>
      </c>
    </row>
    <row r="71" spans="1:48">
      <c r="A71" s="431" t="s">
        <v>516</v>
      </c>
      <c r="B71" s="431"/>
      <c r="C71" s="63"/>
      <c r="D71" s="402"/>
      <c r="E71" s="64"/>
      <c r="F71" s="31"/>
      <c r="G71" s="31"/>
    </row>
    <row r="72" spans="1:48" ht="15.75">
      <c r="A72" s="431" t="s">
        <v>517</v>
      </c>
      <c r="B72" s="431"/>
      <c r="C72" s="31"/>
      <c r="D72" s="31"/>
      <c r="E72" s="31"/>
      <c r="F72" s="31"/>
      <c r="G72" s="31"/>
      <c r="AM72" s="380" t="s">
        <v>241</v>
      </c>
      <c r="AN72">
        <f>$H$42/$B$42*0</f>
        <v>0</v>
      </c>
      <c r="AO72">
        <f>$H$42/$B$42*0.2</f>
        <v>11.74825174825175</v>
      </c>
      <c r="AP72">
        <f>$H$42/$B$42*0.4</f>
        <v>23.4965034965035</v>
      </c>
      <c r="AQ72">
        <f>$H$42/$B$42*0.6</f>
        <v>35.244755244755247</v>
      </c>
      <c r="AR72">
        <f>$H$42/$B$42*0.8</f>
        <v>46.993006993007</v>
      </c>
      <c r="AS72">
        <f>$H$42/$B$42</f>
        <v>58.741258741258747</v>
      </c>
    </row>
    <row r="73" spans="1:48" ht="15.75">
      <c r="AM73" s="380" t="s">
        <v>242</v>
      </c>
      <c r="AN73">
        <f t="shared" ref="AN73:AS73" si="5">(-$B$42*AN72)/$E$42+($H$42/$E$42)</f>
        <v>166.66666666666666</v>
      </c>
      <c r="AO73">
        <f t="shared" si="5"/>
        <v>133.33333333333331</v>
      </c>
      <c r="AP73">
        <f t="shared" si="5"/>
        <v>99.999999999999986</v>
      </c>
      <c r="AQ73">
        <f t="shared" si="5"/>
        <v>66.666666666666657</v>
      </c>
      <c r="AR73">
        <f t="shared" si="5"/>
        <v>33.333333333333314</v>
      </c>
      <c r="AS73">
        <f t="shared" si="5"/>
        <v>0</v>
      </c>
    </row>
    <row r="75" spans="1:48">
      <c r="AM75" s="1" t="s">
        <v>266</v>
      </c>
    </row>
    <row r="77" spans="1:48" ht="15.75">
      <c r="AM77" s="380" t="s">
        <v>241</v>
      </c>
      <c r="AN77" s="90">
        <f>$AN$64*0.7</f>
        <v>18.092307692307696</v>
      </c>
      <c r="AO77" s="90">
        <f>$AN$64*0.8</f>
        <v>20.676923076923082</v>
      </c>
      <c r="AP77" s="90">
        <f>$AN$64*0.9</f>
        <v>23.261538461538464</v>
      </c>
      <c r="AQ77" s="1">
        <f>$AN$64</f>
        <v>25.84615384615385</v>
      </c>
      <c r="AR77" s="90">
        <f>$AN$64*1.1</f>
        <v>28.430769230769236</v>
      </c>
      <c r="AS77" s="90">
        <f>$AN$64*1.3</f>
        <v>33.600000000000009</v>
      </c>
    </row>
    <row r="78" spans="1:48" ht="15.75">
      <c r="AM78" s="380" t="s">
        <v>242</v>
      </c>
      <c r="AN78" s="90">
        <f t="shared" ref="AN78:AS78" si="6">($AO$61/AN77)+$F$46</f>
        <v>124.76190476190474</v>
      </c>
      <c r="AO78" s="90">
        <f t="shared" si="6"/>
        <v>111.66666666666664</v>
      </c>
      <c r="AP78" s="90">
        <f t="shared" si="6"/>
        <v>101.48148148148148</v>
      </c>
      <c r="AQ78" s="90">
        <f t="shared" si="6"/>
        <v>93.333333333333329</v>
      </c>
      <c r="AR78" s="90">
        <f t="shared" si="6"/>
        <v>86.666666666666657</v>
      </c>
      <c r="AS78" s="90">
        <f t="shared" si="6"/>
        <v>76.410256410256409</v>
      </c>
    </row>
    <row r="79" spans="1:48">
      <c r="AS79" s="380"/>
    </row>
    <row r="81" spans="38:55">
      <c r="AM81" s="1"/>
      <c r="AS81" s="1" t="s">
        <v>284</v>
      </c>
      <c r="AW81" s="90" t="s">
        <v>268</v>
      </c>
      <c r="AY81" s="404" t="s">
        <v>269</v>
      </c>
      <c r="AZ81" s="90">
        <f>(AU84-AT84)/(AU83-AT83)</f>
        <v>-2.837301587301579</v>
      </c>
      <c r="BA81" s="90" t="s">
        <v>170</v>
      </c>
      <c r="BB81" s="90" t="s">
        <v>22</v>
      </c>
      <c r="BC81">
        <f>-(AU84-AT84)/(AU83-AT83)*AT83+AT84</f>
        <v>198.61111111111086</v>
      </c>
    </row>
    <row r="82" spans="38:55">
      <c r="AM82" s="1" t="s">
        <v>270</v>
      </c>
      <c r="AS82" s="90" t="s">
        <v>271</v>
      </c>
      <c r="AT82">
        <v>1</v>
      </c>
      <c r="AU82">
        <v>2</v>
      </c>
      <c r="AV82" s="90" t="s">
        <v>272</v>
      </c>
    </row>
    <row r="83" spans="38:55">
      <c r="AO83">
        <v>1</v>
      </c>
      <c r="AP83">
        <v>2</v>
      </c>
      <c r="AQ83">
        <v>3</v>
      </c>
      <c r="AS83" s="380">
        <f>AT83*0.4</f>
        <v>12.727272727272727</v>
      </c>
      <c r="AT83">
        <f>AO84</f>
        <v>31.818181818181817</v>
      </c>
      <c r="AU83">
        <f>AP84</f>
        <v>29.713286713286713</v>
      </c>
      <c r="AV83">
        <f>AU83*1.6</f>
        <v>47.541258741258744</v>
      </c>
    </row>
    <row r="84" spans="38:55">
      <c r="AM84" s="90" t="s">
        <v>195</v>
      </c>
      <c r="AO84">
        <f>AN10</f>
        <v>31.818181818181817</v>
      </c>
      <c r="AP84">
        <f>AN37</f>
        <v>29.713286713286713</v>
      </c>
      <c r="AQ84">
        <f>AN64</f>
        <v>25.84615384615385</v>
      </c>
      <c r="AS84" s="380">
        <f>AZ81*AS83+BC81</f>
        <v>162.49999999999986</v>
      </c>
      <c r="AT84">
        <f>AO85</f>
        <v>108.33333333333334</v>
      </c>
      <c r="AU84">
        <f>AP85</f>
        <v>114.30555555555554</v>
      </c>
      <c r="AV84">
        <f>AZ81*AV83+BC81</f>
        <v>63.722222222222342</v>
      </c>
    </row>
    <row r="85" spans="38:55">
      <c r="AM85" s="90" t="s">
        <v>196</v>
      </c>
      <c r="AO85">
        <f>AN14</f>
        <v>108.33333333333334</v>
      </c>
      <c r="AP85">
        <f>AN41</f>
        <v>114.30555555555554</v>
      </c>
      <c r="AQ85">
        <f>AN68</f>
        <v>93.333333333333329</v>
      </c>
    </row>
    <row r="86" spans="38:55">
      <c r="AS86" s="1" t="s">
        <v>267</v>
      </c>
      <c r="AW86" s="90" t="s">
        <v>268</v>
      </c>
      <c r="AY86" s="404" t="s">
        <v>269</v>
      </c>
      <c r="AZ86" s="90">
        <f>(AU89-AT89)/(AU88-AT88)</f>
        <v>5.4231967048422778</v>
      </c>
      <c r="BA86" s="90" t="s">
        <v>170</v>
      </c>
      <c r="BB86" s="90" t="s">
        <v>22</v>
      </c>
      <c r="BC86">
        <f>-(AU89-AT89)/(AU88-AT88)*AT88+AT89</f>
        <v>-46.835443037974784</v>
      </c>
    </row>
    <row r="87" spans="38:55">
      <c r="AS87" s="90" t="s">
        <v>271</v>
      </c>
      <c r="AT87">
        <v>1</v>
      </c>
      <c r="AU87">
        <v>2</v>
      </c>
      <c r="AV87" s="90" t="s">
        <v>272</v>
      </c>
    </row>
    <row r="88" spans="38:55">
      <c r="AS88" s="380">
        <f>AT88*0.4</f>
        <v>11.885314685314686</v>
      </c>
      <c r="AT88">
        <f>AP84</f>
        <v>29.713286713286713</v>
      </c>
      <c r="AU88">
        <f>AQ84</f>
        <v>25.84615384615385</v>
      </c>
      <c r="AV88">
        <f>AU88*1.6</f>
        <v>41.353846153846163</v>
      </c>
    </row>
    <row r="89" spans="38:55">
      <c r="AS89" s="380">
        <f>AZ86*AS88+BC86</f>
        <v>17.620956399437361</v>
      </c>
      <c r="AT89">
        <f>AP85</f>
        <v>114.30555555555554</v>
      </c>
      <c r="AU89">
        <f>AQ85</f>
        <v>93.333333333333329</v>
      </c>
      <c r="AV89">
        <f>AZ86*AV88+BC86</f>
        <v>177.43459915611822</v>
      </c>
    </row>
    <row r="91" spans="38:55" ht="18">
      <c r="AM91" s="66" t="s">
        <v>287</v>
      </c>
      <c r="AN91">
        <f>AN93-AM93</f>
        <v>-2.1048951048951032</v>
      </c>
      <c r="AP91" s="66" t="s">
        <v>288</v>
      </c>
      <c r="AQ91">
        <f>AQ93-AP93</f>
        <v>-5.9720279720279663</v>
      </c>
      <c r="AS91" s="66" t="s">
        <v>282</v>
      </c>
      <c r="AT91">
        <f>AT93-AS93</f>
        <v>-3.8671328671328631</v>
      </c>
    </row>
    <row r="92" spans="38:55">
      <c r="AM92">
        <v>1</v>
      </c>
      <c r="AN92">
        <v>2</v>
      </c>
      <c r="AP92">
        <v>1</v>
      </c>
      <c r="AQ92">
        <v>3</v>
      </c>
      <c r="AS92">
        <v>2</v>
      </c>
      <c r="AT92">
        <v>3</v>
      </c>
    </row>
    <row r="93" spans="38:55">
      <c r="AM93">
        <f>AO84</f>
        <v>31.818181818181817</v>
      </c>
      <c r="AN93">
        <f>AP84</f>
        <v>29.713286713286713</v>
      </c>
      <c r="AP93">
        <f>AO84</f>
        <v>31.818181818181817</v>
      </c>
      <c r="AQ93">
        <f>AQ84</f>
        <v>25.84615384615385</v>
      </c>
      <c r="AS93">
        <f>AP84</f>
        <v>29.713286713286713</v>
      </c>
      <c r="AT93">
        <f>AQ84</f>
        <v>25.84615384615385</v>
      </c>
    </row>
    <row r="94" spans="38:55">
      <c r="AM94">
        <f>AO85</f>
        <v>108.33333333333334</v>
      </c>
      <c r="AN94">
        <f>AP85</f>
        <v>114.30555555555554</v>
      </c>
      <c r="AP94">
        <f>AO85</f>
        <v>108.33333333333334</v>
      </c>
      <c r="AQ94">
        <f>AQ85</f>
        <v>93.333333333333329</v>
      </c>
      <c r="AS94">
        <f>AP85</f>
        <v>114.30555555555554</v>
      </c>
      <c r="AT94">
        <f>AQ85</f>
        <v>93.333333333333329</v>
      </c>
    </row>
    <row r="95" spans="38:55">
      <c r="AL95" s="90" t="s">
        <v>170</v>
      </c>
      <c r="AM95">
        <f>AM93</f>
        <v>31.818181818181817</v>
      </c>
      <c r="AN95">
        <f>AN93</f>
        <v>29.713286713286713</v>
      </c>
      <c r="AO95" s="90" t="s">
        <v>170</v>
      </c>
      <c r="AP95">
        <f>AP93</f>
        <v>31.818181818181817</v>
      </c>
      <c r="AQ95">
        <f>AQ93</f>
        <v>25.84615384615385</v>
      </c>
      <c r="AR95" s="90" t="s">
        <v>170</v>
      </c>
      <c r="AS95">
        <f>AS93</f>
        <v>29.713286713286713</v>
      </c>
      <c r="AT95">
        <f>AT93</f>
        <v>25.84615384615385</v>
      </c>
    </row>
    <row r="96" spans="38:55">
      <c r="AL96" s="90" t="s">
        <v>289</v>
      </c>
      <c r="AM96">
        <f>AM94*0.1</f>
        <v>10.833333333333336</v>
      </c>
      <c r="AN96">
        <f>AM94*0.1</f>
        <v>10.833333333333336</v>
      </c>
      <c r="AO96" s="90" t="s">
        <v>290</v>
      </c>
      <c r="AP96">
        <f>AP94*0.2</f>
        <v>21.666666666666671</v>
      </c>
      <c r="AQ96">
        <f>AP94*0.2</f>
        <v>21.666666666666671</v>
      </c>
      <c r="AR96" s="90" t="s">
        <v>291</v>
      </c>
      <c r="AS96">
        <f>AP94*0.25</f>
        <v>27.083333333333336</v>
      </c>
      <c r="AT96">
        <f>AP94*0.25</f>
        <v>27.083333333333336</v>
      </c>
    </row>
    <row r="100" spans="38:56">
      <c r="AM100" s="1" t="s">
        <v>277</v>
      </c>
    </row>
    <row r="101" spans="38:56">
      <c r="AQ101" t="s">
        <v>292</v>
      </c>
    </row>
    <row r="102" spans="38:56">
      <c r="AN102">
        <v>1</v>
      </c>
      <c r="AO102">
        <v>2</v>
      </c>
      <c r="AP102">
        <v>3</v>
      </c>
      <c r="AQ102" t="s">
        <v>302</v>
      </c>
      <c r="AR102" t="s">
        <v>303</v>
      </c>
      <c r="AS102" t="s">
        <v>293</v>
      </c>
      <c r="AY102" t="s">
        <v>236</v>
      </c>
    </row>
    <row r="103" spans="38:56">
      <c r="AQ103" s="91">
        <f>AS103</f>
        <v>-0.48180408946630215</v>
      </c>
      <c r="AR103" s="91">
        <f>AT103</f>
        <v>-0.15914357856871081</v>
      </c>
      <c r="AS103" s="91">
        <f>((AP105-AN105)/(0.5*(AP105+AN105)))/((AP104-AN104)/(0.5*(AP104+AN104)))</f>
        <v>-0.48180408946630215</v>
      </c>
      <c r="AT103" s="91">
        <f>((AO105-AN105)/(0.5*(AO105+AN105)))/((AO104-AN104)/(0.5*(AO104+AN104)))</f>
        <v>-0.15914357856871081</v>
      </c>
      <c r="AY103">
        <v>1</v>
      </c>
      <c r="BA103">
        <v>2</v>
      </c>
      <c r="BC103">
        <v>3</v>
      </c>
    </row>
    <row r="104" spans="38:56">
      <c r="AM104" s="81" t="s">
        <v>278</v>
      </c>
      <c r="AN104">
        <f>B8</f>
        <v>11</v>
      </c>
      <c r="AO104">
        <f>A25</f>
        <v>17.023809523809522</v>
      </c>
      <c r="AP104">
        <f>B42</f>
        <v>17.023809523809522</v>
      </c>
      <c r="AQ104">
        <f>AP104</f>
        <v>17.023809523809522</v>
      </c>
      <c r="AR104">
        <f>AN104</f>
        <v>11</v>
      </c>
      <c r="AY104">
        <f>AN105</f>
        <v>31.818181818181817</v>
      </c>
      <c r="AZ104">
        <f>AN105</f>
        <v>31.818181818181817</v>
      </c>
      <c r="BA104">
        <f>AO105</f>
        <v>29.713286713286713</v>
      </c>
      <c r="BB104">
        <f>AO105</f>
        <v>29.713286713286713</v>
      </c>
      <c r="BC104">
        <f>AP105</f>
        <v>25.84615384615385</v>
      </c>
      <c r="BD104">
        <f>AP105</f>
        <v>25.84615384615385</v>
      </c>
    </row>
    <row r="105" spans="38:56" ht="15.75">
      <c r="AM105" s="409" t="s">
        <v>241</v>
      </c>
      <c r="AN105">
        <f>AO84</f>
        <v>31.818181818181817</v>
      </c>
      <c r="AO105">
        <f>AP84</f>
        <v>29.713286713286713</v>
      </c>
      <c r="AP105">
        <f>AQ84</f>
        <v>25.84615384615385</v>
      </c>
      <c r="AQ105">
        <f>AP105</f>
        <v>25.84615384615385</v>
      </c>
      <c r="AR105">
        <f>AN105</f>
        <v>31.818181818181817</v>
      </c>
      <c r="AY105">
        <v>0</v>
      </c>
      <c r="AZ105">
        <f>AN104</f>
        <v>11</v>
      </c>
      <c r="BA105">
        <v>0</v>
      </c>
      <c r="BB105">
        <f>AO104</f>
        <v>17.023809523809522</v>
      </c>
      <c r="BC105">
        <v>0</v>
      </c>
      <c r="BD105">
        <f>AP104</f>
        <v>17.023809523809522</v>
      </c>
    </row>
    <row r="106" spans="38:56">
      <c r="AM106" t="s">
        <v>304</v>
      </c>
      <c r="AQ106" s="90" t="s">
        <v>268</v>
      </c>
      <c r="AS106" s="404" t="s">
        <v>269</v>
      </c>
      <c r="AT106" s="90">
        <f>(AO109-AN109)/(AO108-AN108)</f>
        <v>-1.0086706813873096</v>
      </c>
      <c r="AU106" s="90" t="s">
        <v>170</v>
      </c>
      <c r="AV106" s="90" t="s">
        <v>22</v>
      </c>
      <c r="AW106">
        <f>-(AO109-AN109)/(AO108-AN108)*AN108+AN109</f>
        <v>43.094067135050757</v>
      </c>
    </row>
    <row r="107" spans="38:56">
      <c r="AM107" s="90" t="s">
        <v>296</v>
      </c>
      <c r="AN107">
        <v>1</v>
      </c>
      <c r="AO107">
        <v>3</v>
      </c>
      <c r="AP107" s="90" t="s">
        <v>286</v>
      </c>
      <c r="AR107" t="s">
        <v>305</v>
      </c>
      <c r="AY107" s="90" t="s">
        <v>239</v>
      </c>
    </row>
    <row r="108" spans="38:56" ht="15.75">
      <c r="AL108" s="409" t="s">
        <v>241</v>
      </c>
      <c r="AM108" s="380">
        <f>AN105*0.8</f>
        <v>25.454545454545453</v>
      </c>
      <c r="AN108">
        <f>AN105</f>
        <v>31.818181818181817</v>
      </c>
      <c r="AO108">
        <f>AP105</f>
        <v>25.84615384615385</v>
      </c>
      <c r="AP108">
        <f>AP105*1.2</f>
        <v>31.015384615384619</v>
      </c>
      <c r="AR108">
        <v>1</v>
      </c>
      <c r="AS108">
        <v>2</v>
      </c>
      <c r="AY108">
        <v>1</v>
      </c>
      <c r="BA108">
        <v>2</v>
      </c>
      <c r="BC108">
        <v>3</v>
      </c>
    </row>
    <row r="109" spans="38:56" ht="15.75">
      <c r="AL109" s="81" t="s">
        <v>278</v>
      </c>
      <c r="AM109" s="380">
        <f>AT106*AM108+AW106</f>
        <v>17.41881342701015</v>
      </c>
      <c r="AN109">
        <f>AN104</f>
        <v>11</v>
      </c>
      <c r="AO109">
        <f>AP104</f>
        <v>17.023809523809522</v>
      </c>
      <c r="AP109">
        <f>AT106*AP108+AW106</f>
        <v>11.809758001561274</v>
      </c>
      <c r="AQ109" s="409" t="s">
        <v>241</v>
      </c>
      <c r="AR109">
        <f>AN105</f>
        <v>31.818181818181817</v>
      </c>
      <c r="AS109">
        <f>AO105</f>
        <v>29.713286713286713</v>
      </c>
      <c r="AY109">
        <f>AP108</f>
        <v>31.015384615384619</v>
      </c>
      <c r="AZ109">
        <f>AN105</f>
        <v>31.818181818181817</v>
      </c>
      <c r="BA109">
        <f>AQ108</f>
        <v>0</v>
      </c>
      <c r="BB109">
        <f>AO105</f>
        <v>29.713286713286713</v>
      </c>
      <c r="BC109">
        <f>AR108</f>
        <v>1</v>
      </c>
      <c r="BD109">
        <f>AP105</f>
        <v>25.84615384615385</v>
      </c>
    </row>
    <row r="110" spans="38:56">
      <c r="AM110" s="90"/>
      <c r="AQ110" s="81" t="s">
        <v>278</v>
      </c>
      <c r="AR110">
        <f>AN104</f>
        <v>11</v>
      </c>
      <c r="AS110">
        <f>AO104</f>
        <v>17.023809523809522</v>
      </c>
      <c r="AY110">
        <f>AN104</f>
        <v>11</v>
      </c>
      <c r="AZ110">
        <f>AN104</f>
        <v>11</v>
      </c>
      <c r="BA110">
        <f>AO104</f>
        <v>17.023809523809522</v>
      </c>
      <c r="BB110">
        <f>AO104</f>
        <v>17.023809523809522</v>
      </c>
      <c r="BC110">
        <f>AP104</f>
        <v>17.023809523809522</v>
      </c>
      <c r="BD110">
        <f>AP104</f>
        <v>17.023809523809522</v>
      </c>
    </row>
    <row r="111" spans="38:56">
      <c r="AM111" s="1" t="s">
        <v>279</v>
      </c>
    </row>
    <row r="112" spans="38:56">
      <c r="AM112" s="380"/>
    </row>
    <row r="113" spans="35:45">
      <c r="AI113" s="39"/>
      <c r="AN113">
        <v>1</v>
      </c>
      <c r="AO113">
        <v>2</v>
      </c>
      <c r="AP113">
        <v>3</v>
      </c>
    </row>
    <row r="114" spans="35:45">
      <c r="AM114" s="380" t="s">
        <v>196</v>
      </c>
      <c r="AN114" s="34">
        <f>F20</f>
        <v>108.33333333333334</v>
      </c>
      <c r="AO114" s="34">
        <f>E37</f>
        <v>114.30555555555554</v>
      </c>
      <c r="AP114" s="34">
        <f>F54</f>
        <v>93.333333333333329</v>
      </c>
      <c r="AR114" s="90"/>
      <c r="AS114" s="90"/>
    </row>
    <row r="115" spans="35:45">
      <c r="AM115" s="39" t="s">
        <v>280</v>
      </c>
      <c r="AN115">
        <f>E8</f>
        <v>6</v>
      </c>
      <c r="AO115">
        <f>D25</f>
        <v>6</v>
      </c>
      <c r="AP115">
        <f>E42</f>
        <v>6</v>
      </c>
      <c r="AR115" s="90"/>
      <c r="AS115" s="90"/>
    </row>
    <row r="117" spans="35:45">
      <c r="AM117" s="38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K45"/>
  <sheetViews>
    <sheetView topLeftCell="A5" zoomScale="70" zoomScaleNormal="70" workbookViewId="0">
      <selection activeCell="A32" sqref="A32:B40"/>
    </sheetView>
  </sheetViews>
  <sheetFormatPr defaultRowHeight="12.75"/>
  <sheetData>
    <row r="1" spans="1:37">
      <c r="B1" s="154"/>
      <c r="C1" s="154"/>
      <c r="D1" s="154"/>
      <c r="E1" s="286"/>
      <c r="F1" s="286" t="s">
        <v>112</v>
      </c>
      <c r="G1" s="286"/>
      <c r="H1" s="286"/>
      <c r="I1" s="286"/>
      <c r="J1" s="286"/>
      <c r="K1" s="286"/>
      <c r="L1" s="286"/>
      <c r="M1" s="154"/>
      <c r="N1" s="154"/>
      <c r="O1" s="154" t="s">
        <v>1</v>
      </c>
      <c r="P1" s="154"/>
      <c r="Q1" s="154"/>
      <c r="R1" s="154"/>
      <c r="S1" s="154"/>
      <c r="T1" s="154"/>
      <c r="U1" s="154"/>
      <c r="V1" s="154"/>
      <c r="W1" s="154"/>
    </row>
    <row r="2" spans="1:37">
      <c r="B2" s="154"/>
      <c r="C2" s="154"/>
      <c r="D2" s="154"/>
      <c r="E2" s="286" t="s">
        <v>334</v>
      </c>
      <c r="F2" s="154"/>
      <c r="G2" s="286"/>
      <c r="H2" s="286"/>
      <c r="I2" s="286"/>
      <c r="J2" s="286"/>
      <c r="K2" s="154"/>
      <c r="L2" s="154"/>
      <c r="M2" s="154"/>
      <c r="N2" s="154"/>
      <c r="O2" s="154" t="s">
        <v>43</v>
      </c>
      <c r="P2" s="154"/>
      <c r="Q2" s="154"/>
      <c r="R2" s="154"/>
      <c r="S2" s="154"/>
      <c r="T2" s="154"/>
      <c r="U2" s="154"/>
      <c r="V2" s="154"/>
      <c r="W2" s="154"/>
    </row>
    <row r="3" spans="1:37">
      <c r="B3" s="154" t="s">
        <v>5</v>
      </c>
      <c r="C3" s="154"/>
      <c r="D3" s="154"/>
      <c r="E3" s="154"/>
      <c r="F3" s="286" t="s">
        <v>335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24"/>
    </row>
    <row r="4" spans="1:37">
      <c r="R4" s="24"/>
      <c r="S4" s="24"/>
      <c r="T4" s="24"/>
      <c r="U4" s="24"/>
      <c r="V4" s="24"/>
      <c r="W4" s="24"/>
      <c r="X4" s="24"/>
    </row>
    <row r="5" spans="1:37">
      <c r="A5" s="103"/>
      <c r="B5" s="103"/>
      <c r="C5" s="103"/>
      <c r="D5" s="103"/>
      <c r="E5" s="103"/>
      <c r="F5" s="103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AA5" s="90"/>
    </row>
    <row r="6" spans="1:37">
      <c r="A6" s="103"/>
      <c r="B6" s="108"/>
      <c r="C6" s="339" t="s">
        <v>495</v>
      </c>
      <c r="D6" s="108"/>
      <c r="E6" s="108"/>
      <c r="F6" s="108"/>
      <c r="G6" s="31"/>
      <c r="H6" s="31"/>
      <c r="I6" s="31"/>
      <c r="J6" s="31"/>
      <c r="K6" s="31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90" t="s">
        <v>306</v>
      </c>
    </row>
    <row r="7" spans="1:37">
      <c r="A7" s="103"/>
      <c r="B7" s="108"/>
      <c r="C7" s="110"/>
      <c r="D7" s="108"/>
      <c r="E7" s="108"/>
      <c r="F7" s="108"/>
      <c r="G7" s="31"/>
      <c r="H7" s="31"/>
      <c r="I7" s="31"/>
      <c r="J7" s="31"/>
      <c r="K7" s="3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90" t="s">
        <v>23</v>
      </c>
      <c r="AA7">
        <f>0.2*-($C$8/$E$8)</f>
        <v>21</v>
      </c>
      <c r="AB7">
        <f>0.3*-($C$8/$E$8)</f>
        <v>31.5</v>
      </c>
      <c r="AC7">
        <f>0.4*-($C$8/$E$8)</f>
        <v>42</v>
      </c>
      <c r="AD7">
        <f>0.5*-($C$8/$E$8)</f>
        <v>52.5</v>
      </c>
      <c r="AE7">
        <f>0.6*-($C$8/$E$8)</f>
        <v>63</v>
      </c>
      <c r="AF7">
        <f>0.7*-($C$8/$E$8)</f>
        <v>73.5</v>
      </c>
      <c r="AG7">
        <f>0.8*-($C$8/$E$8)</f>
        <v>84</v>
      </c>
      <c r="AI7" s="90" t="s">
        <v>307</v>
      </c>
    </row>
    <row r="8" spans="1:37" ht="15.75">
      <c r="A8" s="166" t="s">
        <v>308</v>
      </c>
      <c r="B8" s="340" t="s">
        <v>309</v>
      </c>
      <c r="C8" s="199">
        <v>210</v>
      </c>
      <c r="D8" s="338" t="s">
        <v>22</v>
      </c>
      <c r="E8" s="199">
        <v>-2</v>
      </c>
      <c r="F8" s="339" t="s">
        <v>23</v>
      </c>
      <c r="G8" s="415"/>
      <c r="H8" s="31"/>
      <c r="I8" s="402"/>
      <c r="J8" s="31"/>
      <c r="K8" s="40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90" t="s">
        <v>48</v>
      </c>
      <c r="Y8" s="1"/>
      <c r="Z8" s="1"/>
      <c r="AA8" s="1">
        <f t="shared" ref="AA8:AG8" si="0">$C$8+$E$8*AA7</f>
        <v>168</v>
      </c>
      <c r="AB8" s="1">
        <f t="shared" si="0"/>
        <v>147</v>
      </c>
      <c r="AC8" s="1">
        <f t="shared" si="0"/>
        <v>126</v>
      </c>
      <c r="AD8" s="1">
        <f t="shared" si="0"/>
        <v>105</v>
      </c>
      <c r="AE8">
        <f t="shared" si="0"/>
        <v>84</v>
      </c>
      <c r="AF8">
        <f t="shared" si="0"/>
        <v>63</v>
      </c>
      <c r="AG8">
        <f t="shared" si="0"/>
        <v>42</v>
      </c>
    </row>
    <row r="9" spans="1:37">
      <c r="A9" s="103"/>
      <c r="B9" s="108"/>
      <c r="C9" s="110"/>
      <c r="D9" s="108"/>
      <c r="E9" s="110"/>
      <c r="F9" s="108"/>
      <c r="G9" s="31"/>
      <c r="H9" s="31"/>
      <c r="I9" s="31"/>
      <c r="J9" s="31"/>
      <c r="K9" s="31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90" t="s">
        <v>310</v>
      </c>
    </row>
    <row r="10" spans="1:37" ht="13.5">
      <c r="A10" s="103"/>
      <c r="B10" s="339" t="s">
        <v>501</v>
      </c>
      <c r="C10" s="282" t="s">
        <v>311</v>
      </c>
      <c r="D10" s="154"/>
      <c r="E10" s="283" t="s">
        <v>312</v>
      </c>
      <c r="F10" s="108"/>
      <c r="G10" s="415"/>
      <c r="H10" s="31"/>
      <c r="I10" s="402"/>
      <c r="J10" s="31"/>
      <c r="K10" s="403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90" t="s">
        <v>23</v>
      </c>
      <c r="AA10">
        <f>0.2*-($C$14/$E$14)</f>
        <v>24</v>
      </c>
      <c r="AB10">
        <f>0.3*-($C$14/$E$14)</f>
        <v>36</v>
      </c>
      <c r="AC10">
        <f>0.4*-($C$14/$E$14)</f>
        <v>48</v>
      </c>
      <c r="AD10">
        <f>0.5*-($C$14/$E$14)</f>
        <v>60</v>
      </c>
      <c r="AE10">
        <f>0.6*-($C$14/$E$14)</f>
        <v>72</v>
      </c>
      <c r="AF10">
        <f>0.7*-($C$14/$E$14)</f>
        <v>84</v>
      </c>
      <c r="AG10">
        <f>0.8*-($C$14/$E$14)</f>
        <v>96</v>
      </c>
    </row>
    <row r="11" spans="1:37" ht="13.5">
      <c r="A11" s="103"/>
      <c r="B11" s="284" t="s">
        <v>313</v>
      </c>
      <c r="C11" s="281">
        <v>65</v>
      </c>
      <c r="D11" s="284" t="s">
        <v>314</v>
      </c>
      <c r="E11" s="281">
        <v>45</v>
      </c>
      <c r="F11" s="103"/>
      <c r="G11" s="31"/>
      <c r="H11" s="31"/>
      <c r="I11" s="31"/>
      <c r="J11" s="31"/>
      <c r="K11" s="31"/>
      <c r="L11" s="24"/>
      <c r="M11" s="24"/>
      <c r="N11" s="24"/>
      <c r="O11" s="24"/>
      <c r="P11" s="24"/>
      <c r="Q11" s="24"/>
      <c r="R11" s="24"/>
      <c r="S11" s="76"/>
      <c r="T11" s="24"/>
      <c r="U11" s="24"/>
      <c r="V11" s="24"/>
      <c r="W11" s="24"/>
      <c r="X11" s="90" t="s">
        <v>48</v>
      </c>
      <c r="AA11">
        <f t="shared" ref="AA11:AG11" si="1">$C$14+$E$14*AA10</f>
        <v>192</v>
      </c>
      <c r="AB11">
        <f t="shared" si="1"/>
        <v>168</v>
      </c>
      <c r="AC11">
        <f t="shared" si="1"/>
        <v>144</v>
      </c>
      <c r="AD11" s="1">
        <f t="shared" si="1"/>
        <v>120</v>
      </c>
      <c r="AE11">
        <f t="shared" si="1"/>
        <v>96</v>
      </c>
      <c r="AF11">
        <f t="shared" si="1"/>
        <v>72</v>
      </c>
      <c r="AG11">
        <f t="shared" si="1"/>
        <v>48</v>
      </c>
      <c r="AH11" s="90"/>
      <c r="AI11" s="90"/>
      <c r="AJ11" s="90"/>
      <c r="AK11" s="90"/>
    </row>
    <row r="12" spans="1:37" ht="13.5">
      <c r="A12" s="103"/>
      <c r="B12" s="284" t="s">
        <v>315</v>
      </c>
      <c r="C12" s="285">
        <f>C8+E8*C11</f>
        <v>80</v>
      </c>
      <c r="D12" s="284" t="s">
        <v>316</v>
      </c>
      <c r="E12" s="285">
        <f>C8+E8*E11</f>
        <v>120</v>
      </c>
      <c r="F12" s="10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90" t="s">
        <v>317</v>
      </c>
    </row>
    <row r="13" spans="1:37">
      <c r="A13" s="103"/>
      <c r="B13" s="103"/>
      <c r="C13" s="82"/>
      <c r="D13" s="103"/>
      <c r="E13" s="82"/>
      <c r="F13" s="10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90" t="s">
        <v>23</v>
      </c>
      <c r="AA13" t="e">
        <f>0.2*-($C$19/$E$19)</f>
        <v>#DIV/0!</v>
      </c>
      <c r="AB13" t="e">
        <f>0.3*-($C$19/$E$19)</f>
        <v>#DIV/0!</v>
      </c>
      <c r="AC13" t="e">
        <f>0.4*-($C$19/$E$19)</f>
        <v>#DIV/0!</v>
      </c>
      <c r="AD13" t="e">
        <f>0.5*-($C$19/$E$19)</f>
        <v>#DIV/0!</v>
      </c>
      <c r="AE13" t="e">
        <f>0.6*-($C$19/$E$19)</f>
        <v>#DIV/0!</v>
      </c>
      <c r="AF13" t="e">
        <f>0.7*-($C$19/$E$19)</f>
        <v>#DIV/0!</v>
      </c>
      <c r="AG13" t="e">
        <f>0.8*-($C$19/$E$19)</f>
        <v>#DIV/0!</v>
      </c>
    </row>
    <row r="14" spans="1:37" ht="15.75">
      <c r="A14" s="166" t="s">
        <v>318</v>
      </c>
      <c r="B14" s="340" t="s">
        <v>319</v>
      </c>
      <c r="C14" s="199">
        <v>240</v>
      </c>
      <c r="D14" s="338" t="s">
        <v>22</v>
      </c>
      <c r="E14" s="199">
        <v>-2</v>
      </c>
      <c r="F14" s="339" t="s">
        <v>23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77"/>
      <c r="S14" s="76"/>
      <c r="T14" s="77"/>
      <c r="U14" s="76"/>
      <c r="V14" s="24"/>
      <c r="W14" s="24"/>
      <c r="X14" s="90" t="s">
        <v>48</v>
      </c>
      <c r="AA14" t="e">
        <f t="shared" ref="AA14:AG14" si="2">$C$19+$E$19*AA13</f>
        <v>#DIV/0!</v>
      </c>
      <c r="AB14" t="e">
        <f t="shared" si="2"/>
        <v>#DIV/0!</v>
      </c>
      <c r="AC14" t="e">
        <f t="shared" si="2"/>
        <v>#DIV/0!</v>
      </c>
      <c r="AD14" t="e">
        <f t="shared" si="2"/>
        <v>#DIV/0!</v>
      </c>
      <c r="AE14" t="e">
        <f t="shared" si="2"/>
        <v>#DIV/0!</v>
      </c>
      <c r="AF14" t="e">
        <f t="shared" si="2"/>
        <v>#DIV/0!</v>
      </c>
      <c r="AG14" t="e">
        <f t="shared" si="2"/>
        <v>#DIV/0!</v>
      </c>
    </row>
    <row r="15" spans="1:37" ht="13.5">
      <c r="A15" s="103"/>
      <c r="B15" s="103"/>
      <c r="C15" s="282" t="s">
        <v>320</v>
      </c>
      <c r="D15" s="103"/>
      <c r="E15" s="130"/>
      <c r="F15" s="103"/>
      <c r="G15" s="24"/>
      <c r="H15" s="24"/>
      <c r="I15" s="24"/>
      <c r="J15" s="24"/>
      <c r="K15" s="24"/>
      <c r="L15" s="24"/>
      <c r="M15" s="24"/>
      <c r="N15" s="24"/>
      <c r="O15" s="24"/>
      <c r="P15" s="76"/>
      <c r="Q15" s="24"/>
      <c r="R15" s="77"/>
      <c r="S15" s="76"/>
      <c r="T15" s="77"/>
      <c r="U15" s="76"/>
      <c r="V15" s="24"/>
      <c r="W15" s="24"/>
      <c r="X15" s="24"/>
      <c r="AA15" s="90"/>
      <c r="AG15" s="1"/>
    </row>
    <row r="16" spans="1:37" ht="13.5">
      <c r="A16" s="103"/>
      <c r="B16" s="284" t="s">
        <v>321</v>
      </c>
      <c r="C16" s="285">
        <f>E11</f>
        <v>45</v>
      </c>
      <c r="D16" s="103"/>
      <c r="E16" s="82"/>
      <c r="F16" s="10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33"/>
      <c r="S16" s="78"/>
      <c r="T16" s="33"/>
      <c r="U16" s="24"/>
      <c r="V16" s="24"/>
      <c r="W16" s="101"/>
      <c r="X16" s="24"/>
      <c r="AB16" s="1"/>
      <c r="AC16" s="1"/>
      <c r="AD16" s="1"/>
      <c r="AE16" s="1"/>
      <c r="AF16" s="1"/>
      <c r="AG16" s="1"/>
    </row>
    <row r="17" spans="1:37" ht="13.5">
      <c r="A17" s="103"/>
      <c r="B17" s="284" t="s">
        <v>322</v>
      </c>
      <c r="C17" s="285">
        <f>C14+E14*C16</f>
        <v>150</v>
      </c>
      <c r="D17" s="103"/>
      <c r="E17" s="82"/>
      <c r="F17" s="10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77"/>
      <c r="S17" s="76"/>
      <c r="T17" s="77"/>
      <c r="U17" s="76"/>
      <c r="X17" s="1" t="s">
        <v>500</v>
      </c>
      <c r="AC17" s="90" t="s">
        <v>268</v>
      </c>
      <c r="AE17" s="404" t="s">
        <v>269</v>
      </c>
      <c r="AF17" s="90">
        <f>(AA20-Z20)/(AA19-Z19)</f>
        <v>-0.2857142857142857</v>
      </c>
      <c r="AG17" s="90" t="s">
        <v>170</v>
      </c>
      <c r="AH17" s="90" t="s">
        <v>22</v>
      </c>
      <c r="AI17">
        <f>-(AA20-Z20)/(AA19-Z19)*Z19+Z20</f>
        <v>87.857142857142861</v>
      </c>
    </row>
    <row r="18" spans="1:37">
      <c r="A18" s="103"/>
      <c r="B18" s="103"/>
      <c r="C18" s="82"/>
      <c r="D18" s="103"/>
      <c r="E18" s="82"/>
      <c r="F18" s="10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77"/>
      <c r="S18" s="76"/>
      <c r="T18" s="77"/>
      <c r="U18" s="76"/>
      <c r="X18" s="24"/>
      <c r="Y18" s="90" t="s">
        <v>285</v>
      </c>
      <c r="Z18">
        <v>1</v>
      </c>
      <c r="AA18">
        <v>2</v>
      </c>
      <c r="AB18" s="90" t="s">
        <v>323</v>
      </c>
    </row>
    <row r="19" spans="1:37" ht="15.75">
      <c r="A19" s="166" t="s">
        <v>324</v>
      </c>
      <c r="B19" s="340" t="s">
        <v>325</v>
      </c>
      <c r="C19" s="110"/>
      <c r="D19" s="338" t="s">
        <v>22</v>
      </c>
      <c r="E19" s="110"/>
      <c r="F19" s="339" t="s">
        <v>23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X19" s="101" t="s">
        <v>326</v>
      </c>
      <c r="Y19" s="380">
        <f>Z19*0.9</f>
        <v>72</v>
      </c>
      <c r="Z19">
        <f>C12</f>
        <v>80</v>
      </c>
      <c r="AA19">
        <f>C17</f>
        <v>150</v>
      </c>
      <c r="AB19">
        <f>AA19*1.1</f>
        <v>165</v>
      </c>
    </row>
    <row r="20" spans="1:37">
      <c r="A20" s="103"/>
      <c r="B20" s="103"/>
      <c r="C20" s="103"/>
      <c r="D20" s="103"/>
      <c r="E20" s="103"/>
      <c r="F20" s="10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X20" s="101" t="s">
        <v>327</v>
      </c>
      <c r="Y20" s="380">
        <f>AF17*Y19+AI17</f>
        <v>67.285714285714292</v>
      </c>
      <c r="Z20">
        <f>C11</f>
        <v>65</v>
      </c>
      <c r="AA20">
        <f>C16</f>
        <v>45</v>
      </c>
      <c r="AB20">
        <f>AF17*AB19+AI17</f>
        <v>40.714285714285722</v>
      </c>
    </row>
    <row r="21" spans="1:37">
      <c r="G21" s="24"/>
      <c r="H21" s="24"/>
      <c r="I21" s="24"/>
      <c r="J21" s="24"/>
      <c r="K21" s="24"/>
      <c r="L21" s="101"/>
      <c r="M21" s="24"/>
      <c r="N21" s="24"/>
      <c r="O21" s="24"/>
      <c r="P21" s="24"/>
      <c r="Q21" s="24"/>
      <c r="R21" s="24"/>
      <c r="S21" s="24"/>
      <c r="T21" s="24"/>
      <c r="U21" s="24"/>
      <c r="X21" s="24"/>
      <c r="Y21" s="24"/>
      <c r="Z21" s="24"/>
    </row>
    <row r="22" spans="1:37">
      <c r="G22" s="24"/>
      <c r="H22" s="24"/>
      <c r="I22" s="24"/>
      <c r="J22" s="24"/>
      <c r="K22" s="24"/>
      <c r="L22" s="33"/>
      <c r="M22" s="24"/>
      <c r="N22" s="24"/>
      <c r="O22" s="101"/>
      <c r="P22" s="24"/>
      <c r="Q22" s="24"/>
      <c r="R22" s="24"/>
      <c r="S22" s="24"/>
      <c r="T22" s="24"/>
      <c r="Y22" s="76" t="s">
        <v>328</v>
      </c>
      <c r="Z22" s="90" t="s">
        <v>447</v>
      </c>
      <c r="AB22" s="90" t="s">
        <v>239</v>
      </c>
    </row>
    <row r="23" spans="1:37">
      <c r="G23" s="24"/>
      <c r="H23" s="24"/>
      <c r="I23" s="24"/>
      <c r="J23" s="24"/>
      <c r="K23" s="24"/>
      <c r="L23" s="24"/>
      <c r="M23" s="24"/>
      <c r="N23" s="24"/>
      <c r="O23" s="101"/>
      <c r="P23" s="24"/>
      <c r="Q23" s="24"/>
      <c r="R23" s="24"/>
      <c r="S23" s="24"/>
      <c r="T23" s="24"/>
      <c r="Z23">
        <v>1</v>
      </c>
      <c r="AA23">
        <v>2</v>
      </c>
      <c r="AB23">
        <v>1</v>
      </c>
      <c r="AC23">
        <v>2</v>
      </c>
    </row>
    <row r="24" spans="1:37">
      <c r="G24" s="24"/>
      <c r="H24" s="24"/>
      <c r="I24" s="24"/>
      <c r="J24" s="24"/>
      <c r="K24" s="24"/>
      <c r="L24" s="24"/>
      <c r="M24" s="24"/>
      <c r="N24" s="356"/>
      <c r="O24" s="101"/>
      <c r="P24" s="24"/>
      <c r="Q24" s="24"/>
      <c r="R24" s="24"/>
      <c r="S24" s="24"/>
      <c r="T24" s="24"/>
      <c r="Y24" s="356" t="s">
        <v>170</v>
      </c>
      <c r="Z24">
        <f>C12</f>
        <v>80</v>
      </c>
      <c r="AA24">
        <f>C12</f>
        <v>80</v>
      </c>
      <c r="AB24">
        <f>C12</f>
        <v>80</v>
      </c>
      <c r="AC24" s="90">
        <v>0</v>
      </c>
    </row>
    <row r="25" spans="1:37"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Y25" s="356" t="s">
        <v>171</v>
      </c>
      <c r="Z25">
        <f>C11</f>
        <v>65</v>
      </c>
      <c r="AA25">
        <v>0</v>
      </c>
      <c r="AB25">
        <f>C11</f>
        <v>65</v>
      </c>
      <c r="AC25">
        <f>C11</f>
        <v>65</v>
      </c>
    </row>
    <row r="27" spans="1:37">
      <c r="Y27" s="76" t="s">
        <v>312</v>
      </c>
      <c r="Z27" s="90" t="s">
        <v>447</v>
      </c>
    </row>
    <row r="28" spans="1:37">
      <c r="Z28">
        <v>1</v>
      </c>
      <c r="AA28">
        <v>2</v>
      </c>
    </row>
    <row r="29" spans="1:37">
      <c r="Y29" s="356" t="s">
        <v>170</v>
      </c>
      <c r="Z29">
        <f>E12</f>
        <v>120</v>
      </c>
      <c r="AA29">
        <f>E12</f>
        <v>120</v>
      </c>
    </row>
    <row r="30" spans="1:37">
      <c r="Y30" s="356" t="s">
        <v>171</v>
      </c>
      <c r="Z30">
        <f>E11</f>
        <v>45</v>
      </c>
      <c r="AA30">
        <v>0</v>
      </c>
      <c r="AK30" s="90"/>
    </row>
    <row r="32" spans="1:37">
      <c r="A32" s="430" t="s">
        <v>518</v>
      </c>
      <c r="B32" s="103"/>
      <c r="Y32" s="76" t="s">
        <v>329</v>
      </c>
      <c r="Z32" s="90" t="s">
        <v>236</v>
      </c>
      <c r="AB32" s="90" t="s">
        <v>239</v>
      </c>
      <c r="AG32" s="1"/>
    </row>
    <row r="33" spans="1:37">
      <c r="A33" s="431" t="s">
        <v>510</v>
      </c>
      <c r="B33" s="432"/>
      <c r="Z33">
        <v>1</v>
      </c>
      <c r="AA33">
        <v>2</v>
      </c>
      <c r="AB33">
        <v>1</v>
      </c>
      <c r="AC33">
        <v>2</v>
      </c>
      <c r="AD33" s="90"/>
      <c r="AE33" s="90"/>
      <c r="AF33" s="90"/>
      <c r="AG33" s="1"/>
      <c r="AH33" s="90"/>
      <c r="AI33" s="90"/>
      <c r="AJ33" s="90"/>
      <c r="AK33" s="90"/>
    </row>
    <row r="34" spans="1:37">
      <c r="A34" s="431" t="s">
        <v>511</v>
      </c>
      <c r="B34" s="432"/>
      <c r="Y34" s="356" t="s">
        <v>170</v>
      </c>
      <c r="Z34">
        <f>C17</f>
        <v>150</v>
      </c>
      <c r="AA34">
        <f>C17</f>
        <v>150</v>
      </c>
      <c r="AB34">
        <f>C17</f>
        <v>150</v>
      </c>
      <c r="AC34" s="90">
        <v>0</v>
      </c>
    </row>
    <row r="35" spans="1:37">
      <c r="A35" s="431" t="s">
        <v>512</v>
      </c>
      <c r="B35" s="432"/>
      <c r="Y35" s="356" t="s">
        <v>171</v>
      </c>
      <c r="Z35">
        <f>C16</f>
        <v>45</v>
      </c>
      <c r="AA35">
        <v>0</v>
      </c>
      <c r="AB35">
        <f>C16</f>
        <v>45</v>
      </c>
      <c r="AC35">
        <f>C16</f>
        <v>45</v>
      </c>
    </row>
    <row r="36" spans="1:37">
      <c r="A36" s="431" t="s">
        <v>513</v>
      </c>
      <c r="B36" s="432"/>
      <c r="G36" s="103"/>
      <c r="H36" s="103"/>
      <c r="I36" s="103"/>
      <c r="J36" s="286" t="s">
        <v>498</v>
      </c>
      <c r="K36" s="103"/>
      <c r="L36" s="103"/>
      <c r="M36" s="103"/>
      <c r="N36" s="103"/>
      <c r="O36" s="103"/>
    </row>
    <row r="37" spans="1:37">
      <c r="A37" s="431" t="s">
        <v>514</v>
      </c>
      <c r="B37" s="432"/>
      <c r="G37" s="103"/>
      <c r="H37" s="130"/>
      <c r="I37" s="130"/>
      <c r="J37" s="287" t="s">
        <v>496</v>
      </c>
      <c r="K37" s="130"/>
      <c r="L37" s="417"/>
      <c r="M37" s="130"/>
      <c r="N37" s="130"/>
      <c r="O37" s="130"/>
    </row>
    <row r="38" spans="1:37">
      <c r="A38" s="431" t="s">
        <v>515</v>
      </c>
      <c r="B38" s="431"/>
      <c r="G38" s="129"/>
      <c r="H38" s="417" t="s">
        <v>499</v>
      </c>
      <c r="I38" s="417"/>
      <c r="J38" s="130">
        <f>AB39</f>
        <v>40</v>
      </c>
      <c r="K38" s="130" t="s">
        <v>22</v>
      </c>
      <c r="L38" s="79">
        <f>AD39</f>
        <v>30</v>
      </c>
      <c r="M38" s="130" t="s">
        <v>159</v>
      </c>
      <c r="N38" s="416">
        <f>J38+L38</f>
        <v>70</v>
      </c>
      <c r="O38" s="130"/>
      <c r="Y38" s="1" t="s">
        <v>497</v>
      </c>
      <c r="Z38" s="1"/>
      <c r="AA38" s="1"/>
      <c r="AB38" s="1"/>
      <c r="AC38" s="1"/>
    </row>
    <row r="39" spans="1:37">
      <c r="A39" s="431" t="s">
        <v>516</v>
      </c>
      <c r="B39" s="431"/>
      <c r="N39" s="408">
        <f>Z39</f>
        <v>70</v>
      </c>
      <c r="Y39" s="1" t="s">
        <v>330</v>
      </c>
      <c r="Z39" s="1">
        <f>Z41-Y41</f>
        <v>70</v>
      </c>
      <c r="AA39" s="1" t="s">
        <v>331</v>
      </c>
      <c r="AB39" s="1">
        <f>AB41-AA41</f>
        <v>40</v>
      </c>
      <c r="AC39" s="1" t="s">
        <v>332</v>
      </c>
      <c r="AD39">
        <f>AD41-AC41</f>
        <v>30</v>
      </c>
    </row>
    <row r="40" spans="1:37">
      <c r="A40" s="431" t="s">
        <v>517</v>
      </c>
      <c r="B40" s="431"/>
      <c r="Y40" s="90" t="s">
        <v>328</v>
      </c>
      <c r="Z40" s="90" t="s">
        <v>329</v>
      </c>
      <c r="AA40" s="90" t="s">
        <v>328</v>
      </c>
      <c r="AB40" s="90" t="s">
        <v>312</v>
      </c>
      <c r="AC40" s="90" t="s">
        <v>312</v>
      </c>
      <c r="AD40" s="90" t="s">
        <v>329</v>
      </c>
    </row>
    <row r="41" spans="1:37">
      <c r="X41" s="90" t="s">
        <v>170</v>
      </c>
      <c r="Y41">
        <f>C12</f>
        <v>80</v>
      </c>
      <c r="Z41">
        <f>C17</f>
        <v>150</v>
      </c>
      <c r="AA41">
        <f>C12</f>
        <v>80</v>
      </c>
      <c r="AB41">
        <f>E12</f>
        <v>120</v>
      </c>
      <c r="AC41">
        <f>E12</f>
        <v>120</v>
      </c>
      <c r="AD41">
        <f>C17</f>
        <v>150</v>
      </c>
    </row>
    <row r="42" spans="1:37">
      <c r="X42" s="90" t="s">
        <v>171</v>
      </c>
      <c r="Y42">
        <f>C11</f>
        <v>65</v>
      </c>
      <c r="Z42">
        <f>C16</f>
        <v>45</v>
      </c>
      <c r="AA42">
        <f>C11</f>
        <v>65</v>
      </c>
      <c r="AB42">
        <f>E11</f>
        <v>45</v>
      </c>
      <c r="AC42">
        <f>E11</f>
        <v>45</v>
      </c>
      <c r="AD42">
        <f>C16</f>
        <v>45</v>
      </c>
    </row>
    <row r="43" spans="1:37">
      <c r="X43" s="90" t="s">
        <v>170</v>
      </c>
      <c r="Y43">
        <f t="shared" ref="Y43:AD43" si="3">Y41</f>
        <v>80</v>
      </c>
      <c r="Z43">
        <f t="shared" si="3"/>
        <v>150</v>
      </c>
      <c r="AA43">
        <f t="shared" si="3"/>
        <v>80</v>
      </c>
      <c r="AB43">
        <f t="shared" si="3"/>
        <v>120</v>
      </c>
      <c r="AC43">
        <f t="shared" si="3"/>
        <v>120</v>
      </c>
      <c r="AD43">
        <f t="shared" si="3"/>
        <v>150</v>
      </c>
    </row>
    <row r="44" spans="1:37">
      <c r="X44" s="90" t="s">
        <v>333</v>
      </c>
      <c r="Y44">
        <f>$Y$42*0.1</f>
        <v>6.5</v>
      </c>
      <c r="Z44">
        <f>$Y$42*0.1</f>
        <v>6.5</v>
      </c>
      <c r="AA44">
        <f>$Y$42*0.2</f>
        <v>13</v>
      </c>
      <c r="AB44">
        <f>$Y$42*0.2</f>
        <v>13</v>
      </c>
      <c r="AC44">
        <f>$Y$42*0.15</f>
        <v>9.75</v>
      </c>
      <c r="AD44">
        <f>$Y$42*0.15</f>
        <v>9.75</v>
      </c>
    </row>
    <row r="45" spans="1:37">
      <c r="I45" s="1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1DemSup</vt:lpstr>
      <vt:lpstr>2FunctDemSup</vt:lpstr>
      <vt:lpstr>3CowMod</vt:lpstr>
      <vt:lpstr>4ElasticDemSup</vt:lpstr>
      <vt:lpstr>5ElasticRevenue</vt:lpstr>
      <vt:lpstr>6 I-BL-U</vt:lpstr>
      <vt:lpstr>7 BL-I</vt:lpstr>
      <vt:lpstr>8 PCC-D</vt:lpstr>
      <vt:lpstr>9 ICC-Engla</vt:lpstr>
      <vt:lpstr>10 Hicks</vt:lpstr>
      <vt:lpstr>11 Slutsky</vt:lpstr>
      <vt:lpstr>12NietypZach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 </cp:lastModifiedBy>
  <cp:revision/>
  <dcterms:created xsi:type="dcterms:W3CDTF">2012-12-23T09:59:03Z</dcterms:created>
  <dcterms:modified xsi:type="dcterms:W3CDTF">2019-01-25T13:49:25Z</dcterms:modified>
</cp:coreProperties>
</file>